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yBear\Documents\Dany\CEI\Plan de negocios\"/>
    </mc:Choice>
  </mc:AlternateContent>
  <bookViews>
    <workbookView xWindow="0" yWindow="0" windowWidth="24000" windowHeight="9510" tabRatio="945" firstSheet="1" activeTab="14"/>
  </bookViews>
  <sheets>
    <sheet name="Inversión" sheetId="5" r:id="rId1"/>
    <sheet name="Origen y destino" sheetId="13" r:id="rId2"/>
    <sheet name="Depre" sheetId="18" r:id="rId3"/>
    <sheet name="Costo Unit." sheetId="17" r:id="rId4"/>
    <sheet name="CostoVtas" sheetId="4" r:id="rId5"/>
    <sheet name="Ventas" sheetId="1" r:id="rId6"/>
    <sheet name="Proy.VtasCost" sheetId="6" r:id="rId7"/>
    <sheet name="Crédito" sheetId="3" r:id="rId8"/>
    <sheet name="Gastos Men" sheetId="2" r:id="rId9"/>
    <sheet name="EdoRes" sheetId="7" r:id="rId10"/>
    <sheet name="Balances" sheetId="8" r:id="rId11"/>
    <sheet name="Liquidez y P. del Ácido" sheetId="12" r:id="rId12"/>
    <sheet name="Rent y Rec" sheetId="10" r:id="rId13"/>
    <sheet name="Punto Eq." sheetId="11" r:id="rId14"/>
    <sheet name="Flujo neto y VAN" sheetId="16" r:id="rId15"/>
  </sheets>
  <calcPr calcId="162913"/>
</workbook>
</file>

<file path=xl/calcChain.xml><?xml version="1.0" encoding="utf-8"?>
<calcChain xmlns="http://schemas.openxmlformats.org/spreadsheetml/2006/main">
  <c r="B10" i="18" l="1"/>
  <c r="D10" i="18" s="1"/>
  <c r="G10" i="18" s="1"/>
  <c r="C8" i="18"/>
  <c r="B8" i="18"/>
  <c r="B7" i="18"/>
  <c r="D7" i="18"/>
  <c r="F7" i="18" s="1"/>
  <c r="D16" i="18"/>
  <c r="D17" i="18"/>
  <c r="D18" i="18"/>
  <c r="D19" i="18"/>
  <c r="D20" i="18"/>
  <c r="D21" i="18"/>
  <c r="D22" i="18"/>
  <c r="D23" i="18"/>
  <c r="E5" i="5"/>
  <c r="F5" i="5" s="1"/>
  <c r="B5" i="18" s="1"/>
  <c r="D5" i="18" s="1"/>
  <c r="H5" i="18" s="1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5" i="17"/>
  <c r="B6" i="5"/>
  <c r="E6" i="5"/>
  <c r="F6" i="5"/>
  <c r="H6" i="5" s="1"/>
  <c r="E7" i="5"/>
  <c r="F7" i="5" s="1"/>
  <c r="E8" i="5"/>
  <c r="H8" i="5"/>
  <c r="E9" i="5"/>
  <c r="F9" i="5" s="1"/>
  <c r="D10" i="5"/>
  <c r="E10" i="5" s="1"/>
  <c r="F10" i="5" s="1"/>
  <c r="H10" i="5" s="1"/>
  <c r="O9" i="13" s="1"/>
  <c r="E11" i="5"/>
  <c r="G11" i="5" s="1"/>
  <c r="C11" i="18" s="1"/>
  <c r="E12" i="5"/>
  <c r="G12" i="5" s="1"/>
  <c r="E13" i="5"/>
  <c r="G13" i="5" s="1"/>
  <c r="H13" i="5" s="1"/>
  <c r="D14" i="5"/>
  <c r="E14" i="5"/>
  <c r="G14" i="5" s="1"/>
  <c r="C14" i="18" s="1"/>
  <c r="D14" i="18" s="1"/>
  <c r="H14" i="18" s="1"/>
  <c r="E15" i="5"/>
  <c r="G15" i="5"/>
  <c r="H15" i="5" s="1"/>
  <c r="O14" i="13" s="1"/>
  <c r="F5" i="2"/>
  <c r="F6" i="2"/>
  <c r="F7" i="2"/>
  <c r="H7" i="2" s="1"/>
  <c r="F8" i="2"/>
  <c r="F11" i="2"/>
  <c r="F12" i="2"/>
  <c r="F14" i="2"/>
  <c r="F16" i="2"/>
  <c r="F17" i="2"/>
  <c r="F4" i="2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E43" i="4" s="1"/>
  <c r="T28" i="4"/>
  <c r="Q28" i="4"/>
  <c r="N28" i="4"/>
  <c r="K28" i="4"/>
  <c r="H28" i="4"/>
  <c r="E2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Q22" i="4" s="1"/>
  <c r="N7" i="4"/>
  <c r="K7" i="4"/>
  <c r="H7" i="4"/>
  <c r="E7" i="4"/>
  <c r="E22" i="4" s="1"/>
  <c r="O21" i="13"/>
  <c r="H16" i="5"/>
  <c r="H17" i="5"/>
  <c r="H18" i="5"/>
  <c r="H19" i="5"/>
  <c r="H20" i="5"/>
  <c r="H21" i="5"/>
  <c r="H22" i="5"/>
  <c r="H23" i="5"/>
  <c r="E16" i="5"/>
  <c r="E17" i="5"/>
  <c r="E18" i="5"/>
  <c r="E19" i="5"/>
  <c r="E20" i="5"/>
  <c r="E21" i="5"/>
  <c r="E22" i="5"/>
  <c r="E23" i="5"/>
  <c r="H5" i="2"/>
  <c r="H6" i="2"/>
  <c r="H8" i="2"/>
  <c r="H10" i="2"/>
  <c r="H11" i="2"/>
  <c r="H12" i="2"/>
  <c r="H13" i="2"/>
  <c r="H14" i="2"/>
  <c r="H15" i="2"/>
  <c r="H16" i="2"/>
  <c r="H17" i="2"/>
  <c r="H4" i="2"/>
  <c r="D18" i="2"/>
  <c r="D20" i="2" s="1"/>
  <c r="C18" i="2"/>
  <c r="C20" i="2" s="1"/>
  <c r="T42" i="4"/>
  <c r="T41" i="4"/>
  <c r="T40" i="4"/>
  <c r="T39" i="4"/>
  <c r="T43" i="4" s="1"/>
  <c r="Q42" i="4"/>
  <c r="Q41" i="4"/>
  <c r="Q40" i="4"/>
  <c r="Q39" i="4"/>
  <c r="Q43" i="4"/>
  <c r="N42" i="4"/>
  <c r="N41" i="4"/>
  <c r="N40" i="4"/>
  <c r="N39" i="4"/>
  <c r="N43" i="4" s="1"/>
  <c r="K42" i="4"/>
  <c r="K41" i="4"/>
  <c r="K40" i="4"/>
  <c r="K39" i="4"/>
  <c r="H42" i="4"/>
  <c r="H41" i="4"/>
  <c r="H40" i="4"/>
  <c r="H43" i="4" s="1"/>
  <c r="H39" i="4"/>
  <c r="E42" i="4"/>
  <c r="E41" i="4"/>
  <c r="E40" i="4"/>
  <c r="T21" i="4"/>
  <c r="T20" i="4"/>
  <c r="T19" i="4"/>
  <c r="T18" i="4"/>
  <c r="T22" i="4" s="1"/>
  <c r="Q21" i="4"/>
  <c r="Q20" i="4"/>
  <c r="Q19" i="4"/>
  <c r="Q18" i="4"/>
  <c r="N21" i="4"/>
  <c r="N20" i="4"/>
  <c r="N19" i="4"/>
  <c r="N18" i="4"/>
  <c r="N22" i="4" s="1"/>
  <c r="K21" i="4"/>
  <c r="K20" i="4"/>
  <c r="K19" i="4"/>
  <c r="K18" i="4"/>
  <c r="K22" i="4"/>
  <c r="H21" i="4"/>
  <c r="H20" i="4"/>
  <c r="H19" i="4"/>
  <c r="H18" i="4"/>
  <c r="H22" i="4" s="1"/>
  <c r="E18" i="4"/>
  <c r="E19" i="4"/>
  <c r="E20" i="4"/>
  <c r="E21" i="4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42" i="1" s="1"/>
  <c r="T27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42" i="1" s="1"/>
  <c r="Q27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42" i="1" s="1"/>
  <c r="N27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42" i="1" s="1"/>
  <c r="K27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42" i="1" s="1"/>
  <c r="H2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42" i="1" s="1"/>
  <c r="E27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22" i="1" s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22" i="1"/>
  <c r="K21" i="1"/>
  <c r="K20" i="1"/>
  <c r="K19" i="1"/>
  <c r="K18" i="1"/>
  <c r="K17" i="1"/>
  <c r="K16" i="1"/>
  <c r="K15" i="1"/>
  <c r="K14" i="1"/>
  <c r="K13" i="1"/>
  <c r="K12" i="1"/>
  <c r="K11" i="1"/>
  <c r="K10" i="1"/>
  <c r="K22" i="1" s="1"/>
  <c r="K9" i="1"/>
  <c r="K8" i="1"/>
  <c r="K7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8" i="1"/>
  <c r="E22" i="1" s="1"/>
  <c r="C44" i="1" s="1"/>
  <c r="C8" i="6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7" i="1"/>
  <c r="C11" i="3"/>
  <c r="E18" i="10"/>
  <c r="D18" i="10"/>
  <c r="C18" i="10"/>
  <c r="B18" i="10"/>
  <c r="I12" i="6"/>
  <c r="G12" i="6"/>
  <c r="E12" i="6"/>
  <c r="C12" i="6"/>
  <c r="B6" i="3"/>
  <c r="B7" i="3" s="1"/>
  <c r="E5" i="3"/>
  <c r="F5" i="3" s="1"/>
  <c r="C12" i="3"/>
  <c r="C13" i="3" s="1"/>
  <c r="C14" i="3" s="1"/>
  <c r="O7" i="13"/>
  <c r="H22" i="1"/>
  <c r="K43" i="4"/>
  <c r="H9" i="5" l="1"/>
  <c r="B15" i="8" s="1"/>
  <c r="C15" i="8" s="1"/>
  <c r="D15" i="8" s="1"/>
  <c r="E15" i="8" s="1"/>
  <c r="B9" i="18"/>
  <c r="D9" i="18" s="1"/>
  <c r="O8" i="13"/>
  <c r="C45" i="4"/>
  <c r="C13" i="6" s="1"/>
  <c r="D11" i="18"/>
  <c r="H11" i="18" s="1"/>
  <c r="H12" i="5"/>
  <c r="O11" i="13" s="1"/>
  <c r="C12" i="18"/>
  <c r="D12" i="18" s="1"/>
  <c r="C15" i="18"/>
  <c r="D15" i="18" s="1"/>
  <c r="O5" i="13"/>
  <c r="B6" i="18"/>
  <c r="D6" i="18" s="1"/>
  <c r="F6" i="18" s="1"/>
  <c r="F24" i="18" s="1"/>
  <c r="C13" i="18"/>
  <c r="D13" i="18" s="1"/>
  <c r="C7" i="16"/>
  <c r="B12" i="7"/>
  <c r="C12" i="7" s="1"/>
  <c r="D12" i="7" s="1"/>
  <c r="E12" i="7" s="1"/>
  <c r="C8" i="16"/>
  <c r="D8" i="16" s="1"/>
  <c r="E8" i="16" s="1"/>
  <c r="F8" i="16" s="1"/>
  <c r="B13" i="7"/>
  <c r="C13" i="7" s="1"/>
  <c r="D13" i="7" s="1"/>
  <c r="E13" i="7" s="1"/>
  <c r="C15" i="3"/>
  <c r="B8" i="3"/>
  <c r="E7" i="3"/>
  <c r="F7" i="3" s="1"/>
  <c r="E6" i="3"/>
  <c r="D8" i="18"/>
  <c r="G8" i="18" s="1"/>
  <c r="G24" i="18" s="1"/>
  <c r="H24" i="18"/>
  <c r="E8" i="6"/>
  <c r="B6" i="7"/>
  <c r="E22" i="17"/>
  <c r="F5" i="17" s="1"/>
  <c r="D24" i="18"/>
  <c r="O19" i="13"/>
  <c r="H14" i="5"/>
  <c r="B19" i="8"/>
  <c r="C19" i="8" s="1"/>
  <c r="D19" i="8" s="1"/>
  <c r="E19" i="8" s="1"/>
  <c r="O12" i="13"/>
  <c r="B6" i="8"/>
  <c r="C6" i="8" s="1"/>
  <c r="D6" i="8" s="1"/>
  <c r="E6" i="8" s="1"/>
  <c r="G18" i="8"/>
  <c r="G24" i="5"/>
  <c r="H11" i="5"/>
  <c r="O10" i="13" s="1"/>
  <c r="O6" i="13"/>
  <c r="H7" i="5"/>
  <c r="B14" i="8"/>
  <c r="C14" i="8" s="1"/>
  <c r="D14" i="8" s="1"/>
  <c r="E14" i="8" s="1"/>
  <c r="O4" i="13"/>
  <c r="F24" i="5"/>
  <c r="O20" i="13" s="1"/>
  <c r="O23" i="13" s="1"/>
  <c r="P22" i="13" s="1"/>
  <c r="H5" i="5"/>
  <c r="C6" i="16" l="1"/>
  <c r="B8" i="7"/>
  <c r="B10" i="11"/>
  <c r="E13" i="6"/>
  <c r="B24" i="18"/>
  <c r="C15" i="6"/>
  <c r="C24" i="18"/>
  <c r="F13" i="17"/>
  <c r="F21" i="17"/>
  <c r="F12" i="17"/>
  <c r="F9" i="17"/>
  <c r="F17" i="17"/>
  <c r="F8" i="17"/>
  <c r="F16" i="17"/>
  <c r="F20" i="17"/>
  <c r="D7" i="16"/>
  <c r="E7" i="16" s="1"/>
  <c r="F7" i="16" s="1"/>
  <c r="C16" i="3"/>
  <c r="C30" i="3" s="1"/>
  <c r="C15" i="16" s="1"/>
  <c r="F6" i="3"/>
  <c r="B9" i="3"/>
  <c r="E8" i="3"/>
  <c r="F8" i="3" s="1"/>
  <c r="P21" i="13"/>
  <c r="P19" i="13"/>
  <c r="B6" i="11"/>
  <c r="B10" i="7"/>
  <c r="G8" i="6"/>
  <c r="D6" i="11" s="1"/>
  <c r="C6" i="7"/>
  <c r="F7" i="17"/>
  <c r="F11" i="17"/>
  <c r="F15" i="17"/>
  <c r="F19" i="17"/>
  <c r="F6" i="17"/>
  <c r="F10" i="17"/>
  <c r="F14" i="17"/>
  <c r="F18" i="17"/>
  <c r="P20" i="13"/>
  <c r="P23" i="13" s="1"/>
  <c r="O13" i="13"/>
  <c r="O16" i="13" s="1"/>
  <c r="P4" i="13" s="1"/>
  <c r="B12" i="8"/>
  <c r="C12" i="8" s="1"/>
  <c r="D12" i="8" s="1"/>
  <c r="E12" i="8" s="1"/>
  <c r="B13" i="8"/>
  <c r="H24" i="5"/>
  <c r="B4" i="16" s="1"/>
  <c r="D6" i="16" l="1"/>
  <c r="C10" i="11"/>
  <c r="G13" i="6"/>
  <c r="C8" i="7"/>
  <c r="C10" i="7" s="1"/>
  <c r="E15" i="6"/>
  <c r="F22" i="17"/>
  <c r="B10" i="3"/>
  <c r="E9" i="3"/>
  <c r="F9" i="3" s="1"/>
  <c r="C17" i="3"/>
  <c r="B23" i="7"/>
  <c r="G5" i="8"/>
  <c r="C6" i="11"/>
  <c r="D5" i="16"/>
  <c r="C5" i="16"/>
  <c r="I8" i="6"/>
  <c r="E6" i="11" s="1"/>
  <c r="G15" i="6"/>
  <c r="D6" i="7"/>
  <c r="B22" i="10"/>
  <c r="B16" i="16"/>
  <c r="B19" i="16" s="1"/>
  <c r="C22" i="10"/>
  <c r="B8" i="10"/>
  <c r="P8" i="13"/>
  <c r="P5" i="13"/>
  <c r="P9" i="13"/>
  <c r="P11" i="13"/>
  <c r="P13" i="13"/>
  <c r="P7" i="13"/>
  <c r="P15" i="13"/>
  <c r="P6" i="13"/>
  <c r="P10" i="13"/>
  <c r="P12" i="13"/>
  <c r="P14" i="13"/>
  <c r="C13" i="8"/>
  <c r="B17" i="8"/>
  <c r="P16" i="13"/>
  <c r="E6" i="16" l="1"/>
  <c r="D10" i="11"/>
  <c r="D8" i="7"/>
  <c r="I13" i="6"/>
  <c r="G10" i="8"/>
  <c r="H18" i="8"/>
  <c r="B11" i="3"/>
  <c r="E10" i="3"/>
  <c r="C18" i="3"/>
  <c r="E5" i="16"/>
  <c r="E10" i="16" s="1"/>
  <c r="D10" i="7"/>
  <c r="D16" i="7" s="1"/>
  <c r="I15" i="6"/>
  <c r="E6" i="7"/>
  <c r="C17" i="8"/>
  <c r="D13" i="8"/>
  <c r="C8" i="10"/>
  <c r="D8" i="10" s="1"/>
  <c r="E8" i="10" s="1"/>
  <c r="D17" i="8" l="1"/>
  <c r="E13" i="8"/>
  <c r="E17" i="8" s="1"/>
  <c r="E10" i="11"/>
  <c r="E8" i="7"/>
  <c r="F6" i="16"/>
  <c r="D19" i="7"/>
  <c r="E12" i="16" s="1"/>
  <c r="F10" i="3"/>
  <c r="C19" i="3"/>
  <c r="E11" i="3"/>
  <c r="F11" i="3" s="1"/>
  <c r="B12" i="3"/>
  <c r="F5" i="16"/>
  <c r="E10" i="7"/>
  <c r="E16" i="7" s="1"/>
  <c r="D18" i="7"/>
  <c r="E11" i="16" s="1"/>
  <c r="F10" i="16" l="1"/>
  <c r="E19" i="7"/>
  <c r="F12" i="16" s="1"/>
  <c r="E13" i="16"/>
  <c r="E16" i="16" s="1"/>
  <c r="E19" i="16" s="1"/>
  <c r="D21" i="7"/>
  <c r="D25" i="7" s="1"/>
  <c r="E12" i="3"/>
  <c r="B13" i="3"/>
  <c r="C20" i="3"/>
  <c r="E18" i="7"/>
  <c r="F11" i="16" s="1"/>
  <c r="F13" i="16" s="1"/>
  <c r="F16" i="16" s="1"/>
  <c r="D6" i="10" l="1"/>
  <c r="D10" i="10" s="1"/>
  <c r="I19" i="8"/>
  <c r="F19" i="16"/>
  <c r="E21" i="7"/>
  <c r="E25" i="7" s="1"/>
  <c r="E13" i="3"/>
  <c r="F13" i="3" s="1"/>
  <c r="B14" i="3"/>
  <c r="C21" i="3"/>
  <c r="F12" i="3"/>
  <c r="J19" i="8" l="1"/>
  <c r="E6" i="10"/>
  <c r="E10" i="10" s="1"/>
  <c r="B15" i="3"/>
  <c r="E14" i="3"/>
  <c r="C22" i="3"/>
  <c r="F14" i="3" l="1"/>
  <c r="C23" i="3"/>
  <c r="E15" i="3"/>
  <c r="F15" i="3" s="1"/>
  <c r="B16" i="3"/>
  <c r="B17" i="3" l="1"/>
  <c r="E16" i="3"/>
  <c r="C24" i="3"/>
  <c r="F16" i="3" l="1"/>
  <c r="E30" i="3"/>
  <c r="C25" i="3"/>
  <c r="B18" i="3"/>
  <c r="E17" i="3"/>
  <c r="F17" i="3" l="1"/>
  <c r="B14" i="7"/>
  <c r="B16" i="7" s="1"/>
  <c r="E18" i="3"/>
  <c r="F18" i="3" s="1"/>
  <c r="B19" i="3"/>
  <c r="C26" i="3"/>
  <c r="B19" i="7" l="1"/>
  <c r="C12" i="16" s="1"/>
  <c r="B20" i="3"/>
  <c r="E19" i="3"/>
  <c r="F19" i="3" s="1"/>
  <c r="C27" i="3"/>
  <c r="B18" i="7"/>
  <c r="C11" i="16" s="1"/>
  <c r="B21" i="7" l="1"/>
  <c r="B25" i="7" s="1"/>
  <c r="G19" i="8" s="1"/>
  <c r="C28" i="3"/>
  <c r="C31" i="3" s="1"/>
  <c r="D15" i="16" s="1"/>
  <c r="E20" i="3"/>
  <c r="F20" i="3" s="1"/>
  <c r="B21" i="3"/>
  <c r="H20" i="8" l="1"/>
  <c r="B5" i="8"/>
  <c r="B20" i="10"/>
  <c r="B24" i="10" s="1"/>
  <c r="B22" i="3"/>
  <c r="E21" i="3"/>
  <c r="G12" i="8"/>
  <c r="C23" i="7"/>
  <c r="B6" i="10"/>
  <c r="B10" i="10" s="1"/>
  <c r="B10" i="8" l="1"/>
  <c r="B22" i="8" s="1"/>
  <c r="F21" i="3"/>
  <c r="G17" i="8"/>
  <c r="G22" i="8" s="1"/>
  <c r="H5" i="8"/>
  <c r="E22" i="3"/>
  <c r="F22" i="3" s="1"/>
  <c r="B23" i="3"/>
  <c r="H10" i="8" l="1"/>
  <c r="I18" i="8"/>
  <c r="J18" i="8" s="1"/>
  <c r="B24" i="3"/>
  <c r="E23" i="3"/>
  <c r="F23" i="3" l="1"/>
  <c r="E24" i="3"/>
  <c r="F24" i="3" s="1"/>
  <c r="B25" i="3"/>
  <c r="B26" i="3" l="1"/>
  <c r="E25" i="3"/>
  <c r="F25" i="3" l="1"/>
  <c r="E26" i="3"/>
  <c r="F26" i="3" s="1"/>
  <c r="B27" i="3"/>
  <c r="B28" i="3" l="1"/>
  <c r="E28" i="3" s="1"/>
  <c r="F28" i="3" s="1"/>
  <c r="E27" i="3"/>
  <c r="F27" i="3" l="1"/>
  <c r="E31" i="3"/>
  <c r="C14" i="7" l="1"/>
  <c r="C16" i="7" s="1"/>
  <c r="F31" i="3"/>
  <c r="E9" i="2" s="1"/>
  <c r="C19" i="7" l="1"/>
  <c r="D12" i="16" s="1"/>
  <c r="F9" i="2"/>
  <c r="E18" i="2"/>
  <c r="E20" i="2" s="1"/>
  <c r="C9" i="16" s="1"/>
  <c r="C10" i="16" s="1"/>
  <c r="C13" i="16" s="1"/>
  <c r="C16" i="16" s="1"/>
  <c r="C18" i="7"/>
  <c r="D11" i="16" s="1"/>
  <c r="C21" i="7" l="1"/>
  <c r="D9" i="16"/>
  <c r="D10" i="16" s="1"/>
  <c r="D13" i="16" s="1"/>
  <c r="D16" i="16" s="1"/>
  <c r="D19" i="16" s="1"/>
  <c r="C19" i="16"/>
  <c r="H9" i="2"/>
  <c r="H18" i="2" s="1"/>
  <c r="F18" i="2"/>
  <c r="C20" i="10"/>
  <c r="C24" i="10" s="1"/>
  <c r="C25" i="7"/>
  <c r="H19" i="8" s="1"/>
  <c r="I20" i="8" l="1"/>
  <c r="J20" i="8" s="1"/>
  <c r="J22" i="8" s="1"/>
  <c r="C5" i="8"/>
  <c r="H22" i="8"/>
  <c r="C6" i="10"/>
  <c r="C10" i="10" s="1"/>
  <c r="B17" i="11"/>
  <c r="B19" i="11" s="1"/>
  <c r="C17" i="11"/>
  <c r="F21" i="16"/>
  <c r="C19" i="11" l="1"/>
  <c r="D17" i="11"/>
  <c r="C10" i="8"/>
  <c r="D5" i="8"/>
  <c r="C22" i="8" l="1"/>
  <c r="C24" i="12"/>
  <c r="C21" i="12"/>
  <c r="C23" i="12"/>
  <c r="C22" i="12"/>
  <c r="D19" i="11"/>
  <c r="E17" i="11"/>
  <c r="E19" i="11" s="1"/>
  <c r="E5" i="8"/>
  <c r="E10" i="8" s="1"/>
  <c r="E22" i="8" s="1"/>
  <c r="D10" i="8"/>
  <c r="D22" i="8" s="1"/>
  <c r="I22" i="8" s="1"/>
</calcChain>
</file>

<file path=xl/sharedStrings.xml><?xml version="1.0" encoding="utf-8"?>
<sst xmlns="http://schemas.openxmlformats.org/spreadsheetml/2006/main" count="474" uniqueCount="227">
  <si>
    <t>MESES</t>
  </si>
  <si>
    <t>Cantidad</t>
  </si>
  <si>
    <t>Precio</t>
  </si>
  <si>
    <t>Impte.</t>
  </si>
  <si>
    <t>Cant.</t>
  </si>
  <si>
    <t>N°</t>
  </si>
  <si>
    <t>Sumas</t>
  </si>
  <si>
    <t>Costo</t>
  </si>
  <si>
    <t xml:space="preserve"> </t>
  </si>
  <si>
    <t>Administración</t>
  </si>
  <si>
    <t>Ventas</t>
  </si>
  <si>
    <t>Financieros</t>
  </si>
  <si>
    <t>Totales</t>
  </si>
  <si>
    <t>TABLA DE AMORTIZACIÓN DEL CRÉDITO</t>
  </si>
  <si>
    <t>Insoluto</t>
  </si>
  <si>
    <t>Crédito</t>
  </si>
  <si>
    <t xml:space="preserve">Saldo </t>
  </si>
  <si>
    <t xml:space="preserve">Amort. </t>
  </si>
  <si>
    <t>Capital</t>
  </si>
  <si>
    <t>Tasa</t>
  </si>
  <si>
    <t>Interés</t>
  </si>
  <si>
    <t>Pago</t>
  </si>
  <si>
    <t>Amort.</t>
  </si>
  <si>
    <t>Monto</t>
  </si>
  <si>
    <t>N° de</t>
  </si>
  <si>
    <t>Pagos</t>
  </si>
  <si>
    <t>Concepto</t>
  </si>
  <si>
    <t>Unidad</t>
  </si>
  <si>
    <t>Propia</t>
  </si>
  <si>
    <t>Inversión</t>
  </si>
  <si>
    <t xml:space="preserve">Inversión </t>
  </si>
  <si>
    <t>Total</t>
  </si>
  <si>
    <t>PROYECCIÓN DE VENTAS Y COSTOS DE COMPRA</t>
  </si>
  <si>
    <t>%</t>
  </si>
  <si>
    <t xml:space="preserve">% </t>
  </si>
  <si>
    <t>Crec.</t>
  </si>
  <si>
    <t xml:space="preserve">Ventas </t>
  </si>
  <si>
    <t>Ganancia Bruta</t>
  </si>
  <si>
    <t>Proyección</t>
  </si>
  <si>
    <t>ESTADO DE RESULTADOS</t>
  </si>
  <si>
    <t>Conceptos</t>
  </si>
  <si>
    <t>Años</t>
  </si>
  <si>
    <t>Menos</t>
  </si>
  <si>
    <t>Costo de ventas</t>
  </si>
  <si>
    <t>Ganancia bruta</t>
  </si>
  <si>
    <t>Igual a</t>
  </si>
  <si>
    <t>Gastos de administración</t>
  </si>
  <si>
    <t>Gastos de venta</t>
  </si>
  <si>
    <t>Gastos financieros</t>
  </si>
  <si>
    <t>Ganancia neta</t>
  </si>
  <si>
    <t>ACTIVO</t>
  </si>
  <si>
    <t>PASIVO</t>
  </si>
  <si>
    <t>Circulante</t>
  </si>
  <si>
    <t>Fijo</t>
  </si>
  <si>
    <t>Activo</t>
  </si>
  <si>
    <t>Utilidad</t>
  </si>
  <si>
    <t>Pasivo y capital</t>
  </si>
  <si>
    <t>Diferencia</t>
  </si>
  <si>
    <t>Ganancia antes de Impuestos</t>
  </si>
  <si>
    <t>Suma</t>
  </si>
  <si>
    <t>Factor An.</t>
  </si>
  <si>
    <t>Importe</t>
  </si>
  <si>
    <t>ANÁLISIS DE GASTOS MENSUALES / ANUALES</t>
  </si>
  <si>
    <t>PUNTO DE EQUILIBRIO</t>
  </si>
  <si>
    <t>DESTINO DE LOS RECURSOS</t>
  </si>
  <si>
    <t>IMPORTE</t>
  </si>
  <si>
    <t>Instalaciones</t>
  </si>
  <si>
    <t>Otros</t>
  </si>
  <si>
    <t>ORIGEN DE LOS RECURSOS</t>
  </si>
  <si>
    <t>Año</t>
  </si>
  <si>
    <t>Ingreso</t>
  </si>
  <si>
    <t>Flujo Neto</t>
  </si>
  <si>
    <t>ORIGEN Y APLICACIÓN DE RECURSOS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</si>
  <si>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</si>
  <si>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</si>
  <si>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</si>
  <si>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</si>
  <si>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</si>
  <si>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</si>
  <si>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</si>
  <si>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</si>
  <si>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</si>
  <si>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</si>
  <si>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</si>
  <si>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</si>
  <si>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 xml:space="preserve">PROYECCIÓN DE VENTAS MENSUALES  </t>
  </si>
  <si>
    <t>HASTA POR UN AÑO DE PLAZO</t>
  </si>
  <si>
    <t>Precio de venta es igual al Costo de producción o Costo de fabricación o Costo de compra más la ganancia estimada</t>
  </si>
  <si>
    <t>PRODUCTO O SERVICIO DE VENTA</t>
  </si>
  <si>
    <t>COSTO DEL PRODUCTO O SERVICIO</t>
  </si>
  <si>
    <t>PROYECCIÓN DE LOS GASTOS DE PRODUCCIÓN O COMPRA EN FORMA MENSUAL</t>
  </si>
  <si>
    <t>HASTA POR EL PLAZO DE UN AÑO</t>
  </si>
  <si>
    <t>El costo de producción, servicio o compra se compone de; valor de las materias primas, insumos, mano de obra directa, depreciación y otros, dependiendo de cada caso y distinguiendose de los gastos de  otros departamentos del negocio, como; gastos de administración, financieros y venta.</t>
  </si>
  <si>
    <t>ANÁLISIS DEL COSTO UNITARIO</t>
  </si>
  <si>
    <t>POR PRODUCTO O SERVICIO</t>
  </si>
  <si>
    <t>Concepto de gasto:</t>
  </si>
  <si>
    <t>Unidad: es la definición de medida, como; litro, kilo, metro, gramo, pieza, nombre genérico</t>
  </si>
  <si>
    <t>Cantidad: parte o cantidad relativa al producto o servicio evaluado.</t>
  </si>
  <si>
    <t>Precio: valor relativo a la parte proporcional de la cantidad considerada.</t>
  </si>
  <si>
    <t>Nota: La proyección de ventas para años futuros está correlacionada con la expectativa de la demanda obtenida</t>
  </si>
  <si>
    <t>Concepto de gasto</t>
  </si>
  <si>
    <t>Los gastos de administración son los relativos a la coordinación del negocio</t>
  </si>
  <si>
    <t>Los gastos de venta son los relacionados a lo que "gasta" el negocio para vender lo fabricado o lo comprado.</t>
  </si>
  <si>
    <t>Los gastos financieros son los intereses, comisiones e IVA, devengados del crédito adquirido.</t>
  </si>
  <si>
    <t>Nota: En el caso de los gastos financieros, se recomienda hacer un promedio mensual del total a pagar.</t>
  </si>
  <si>
    <t>Nota: Una vez determinadas las sumas, multiplicar por el factor 12 para establecer el importe anual</t>
  </si>
  <si>
    <t>Los gastos financieros corresponden a los intereses devengados.</t>
  </si>
  <si>
    <t>La amortización se refiere a los pagos de capital del crédito.</t>
  </si>
  <si>
    <t>INVERSIÓN TOTAL PARA EL PROYECTO</t>
  </si>
  <si>
    <t>Unidad: Está relacionada con los conceptos de; metro, kilo, centímetros, litro, pieza, hora, etc</t>
  </si>
  <si>
    <t xml:space="preserve">Cantidad: las veces que se compra e invierte de un bién </t>
  </si>
  <si>
    <t>Año1</t>
  </si>
  <si>
    <t>Año2</t>
  </si>
  <si>
    <t>Año3</t>
  </si>
  <si>
    <t xml:space="preserve">Año4 </t>
  </si>
  <si>
    <t>Diferido</t>
  </si>
  <si>
    <t>Nota: El valor cero de la primer columna corresponde al balance inicial</t>
  </si>
  <si>
    <t>Valor Actual Neto:</t>
  </si>
  <si>
    <t>BALANCES PROFORMA</t>
  </si>
  <si>
    <t>TASA DIRECTA DE RENTABILIDAD</t>
  </si>
  <si>
    <t>PLAZO DE RECUPERACIÓN DE LA INVERSIÓN</t>
  </si>
  <si>
    <t>Plazo</t>
  </si>
  <si>
    <t>RAZÓN DE LIQUIDEZ Y PRUEBA DEL ÁCIDO</t>
  </si>
  <si>
    <t>Liquidez</t>
  </si>
  <si>
    <t>Pasivo circulante</t>
  </si>
  <si>
    <t>Razón de liquidez</t>
  </si>
  <si>
    <t>igual a</t>
  </si>
  <si>
    <t>Activo circulante</t>
  </si>
  <si>
    <t>menos</t>
  </si>
  <si>
    <t>Prueba del ácido</t>
  </si>
  <si>
    <t>Activo circulante - inventarios</t>
  </si>
  <si>
    <t>Activo circulante - inventarios-Pasivo circulante</t>
  </si>
  <si>
    <t>Nota: esta valuación permite conocer los recursos disponibles de inmediato</t>
  </si>
  <si>
    <t>Nota: La prueba del ácido elimina los recursos de lenta realización</t>
  </si>
  <si>
    <t>Intereses</t>
  </si>
  <si>
    <t>Ganancia antes de pago de capital del crédito</t>
  </si>
  <si>
    <t>Punto de equilibrio en ventas</t>
  </si>
  <si>
    <t>en el análisis, incluyendo las posibilidades de crecimiento mesurado y la capacidad instalada.</t>
  </si>
  <si>
    <t>De interés</t>
  </si>
  <si>
    <t>2do año</t>
  </si>
  <si>
    <t>De capital</t>
  </si>
  <si>
    <t>1er año</t>
  </si>
  <si>
    <t>Prom. Men</t>
  </si>
  <si>
    <t>Suma total anual</t>
  </si>
  <si>
    <t>Amortización de capital del crédito</t>
  </si>
  <si>
    <t>Total activo circulante</t>
  </si>
  <si>
    <t>Total pasivo circulante</t>
  </si>
  <si>
    <t>Total pasivo fijo</t>
  </si>
  <si>
    <t>Total activo fijo</t>
  </si>
  <si>
    <t>(Liq)</t>
  </si>
  <si>
    <t>(Razón)</t>
  </si>
  <si>
    <t xml:space="preserve">Prueba ácido  </t>
  </si>
  <si>
    <t>Ventas totales</t>
  </si>
  <si>
    <t>Otro gasto  variable</t>
  </si>
  <si>
    <t>Total de gastos variables</t>
  </si>
  <si>
    <t>Total de gastos fijos</t>
  </si>
  <si>
    <t>Inversiones</t>
  </si>
  <si>
    <t>Patrimonio</t>
  </si>
  <si>
    <t>Nota: En la columna 0 se colocan los bienes o recursos que ya existen, por la aportación del emprendedor</t>
  </si>
  <si>
    <t>Valor positivo a una tasa comparada del 25%</t>
  </si>
  <si>
    <t>Ultrasonido</t>
  </si>
  <si>
    <t>Impresora</t>
  </si>
  <si>
    <t>Computadora</t>
  </si>
  <si>
    <t>Instalación eléctrica</t>
  </si>
  <si>
    <t>Instalaciónes</t>
  </si>
  <si>
    <t>Pza</t>
  </si>
  <si>
    <t>Varios</t>
  </si>
  <si>
    <t>Papelería</t>
  </si>
  <si>
    <t>Millar</t>
  </si>
  <si>
    <t>Varias</t>
  </si>
  <si>
    <t>Equipo e instrumental</t>
  </si>
  <si>
    <t>Stock medicamentos</t>
  </si>
  <si>
    <t>Permisos y promoción</t>
  </si>
  <si>
    <t>Eq. y enseres de consultorio</t>
  </si>
  <si>
    <t>Cap. De trabajo</t>
  </si>
  <si>
    <t>$</t>
  </si>
  <si>
    <t>Consultas</t>
  </si>
  <si>
    <t>Analgésicos</t>
  </si>
  <si>
    <t>Antibióticos</t>
  </si>
  <si>
    <t>Vitaminas</t>
  </si>
  <si>
    <t>Antidiarreícos</t>
  </si>
  <si>
    <t>Desinflamatorios</t>
  </si>
  <si>
    <t xml:space="preserve">Sueros </t>
  </si>
  <si>
    <t>Jarabes</t>
  </si>
  <si>
    <t>Suturas</t>
  </si>
  <si>
    <t>Muestras Lab.</t>
  </si>
  <si>
    <t>Gasolina</t>
  </si>
  <si>
    <t>Teléfono</t>
  </si>
  <si>
    <t>Renta</t>
  </si>
  <si>
    <t>Sueldos</t>
  </si>
  <si>
    <t>Energía eléctrica</t>
  </si>
  <si>
    <t>Gastos anualizados</t>
  </si>
  <si>
    <t>Caja y Bancos</t>
  </si>
  <si>
    <t>Equipo e instrumentos</t>
  </si>
  <si>
    <t>Equipos</t>
  </si>
  <si>
    <t>Enseres of.</t>
  </si>
  <si>
    <t>Acreedor bancario</t>
  </si>
  <si>
    <t>Inventarios med.</t>
  </si>
  <si>
    <t>Ganancia AA</t>
  </si>
  <si>
    <t>En el plazo el crédito</t>
  </si>
  <si>
    <t>GAA: Ganancia antes de amortización del crédito</t>
  </si>
  <si>
    <t>Tasa despues del pago de las amortizaciones del crédito</t>
  </si>
  <si>
    <t>Dep</t>
  </si>
  <si>
    <t>.</t>
  </si>
  <si>
    <t>Admón</t>
  </si>
  <si>
    <t>Operación</t>
  </si>
  <si>
    <t>Utilidad ejer. Ant.</t>
  </si>
  <si>
    <t xml:space="preserve"> VALOR ACTUAL NETO</t>
  </si>
  <si>
    <t>(-) Amortización a créditos</t>
  </si>
  <si>
    <t>(-)Costo de producción</t>
  </si>
  <si>
    <t>(-)Costo de administración</t>
  </si>
  <si>
    <t>(-)Costo de ventas</t>
  </si>
  <si>
    <t>(-)Costo financiero</t>
  </si>
  <si>
    <t>(-)ISR</t>
  </si>
  <si>
    <t>(-)PTU</t>
  </si>
  <si>
    <t>Utilidad Después Impuestos</t>
  </si>
  <si>
    <t>Utilidad Antes Impuestos</t>
  </si>
  <si>
    <t>(+)Depreciación</t>
  </si>
  <si>
    <t>ISR al 18%</t>
  </si>
  <si>
    <t>PTU al 10%</t>
  </si>
  <si>
    <t>Producto o servicio</t>
  </si>
  <si>
    <t>Mano de obra</t>
  </si>
  <si>
    <t>Kw/hr</t>
  </si>
  <si>
    <t>Insumos</t>
  </si>
  <si>
    <t>Depreciación</t>
  </si>
  <si>
    <t>AÑO 2</t>
  </si>
  <si>
    <t>Inversión 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</si>
</sst>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3" formatCode="_-* #,##0.00_-;\-* #,##0.00_-;_-* &quot;-&quot;??_-;_-@_-"/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ndalus"/>
    </font>
    <font>
      <b/>
      <i/>
      <sz val="11"/>
      <color theme="1"/>
      <name val="Andalus"/>
    </font>
    <font>
      <b/>
      <i/>
      <sz val="10"/>
      <color theme="1"/>
      <name val="Andalus"/>
    </font>
    <font>
      <b/>
      <sz val="11"/>
      <color theme="1"/>
      <name val="Andalus"/>
    </font>
    <font>
      <b/>
      <sz val="10"/>
      <color theme="1"/>
      <name val="Andalus"/>
    </font>
    <font>
      <sz val="10"/>
      <color theme="1"/>
      <name val="Andalus"/>
    </font>
    <font>
      <i/>
      <sz val="10"/>
      <color theme="1"/>
      <name val="Andalus"/>
    </font>
    <font>
      <sz val="9"/>
      <color theme="1"/>
      <name val="Andalus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6" xfId="0" applyBorder="1"/>
    <xf numFmtId="11" fontId="0" fillId="0" borderId="0" xfId="0" applyNumberFormat="1"/>
    <xf numFmtId="8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3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left" vertical="center"/>
    </xf>
    <xf numFmtId="0" fontId="3" fillId="0" borderId="7" xfId="0" applyFont="1" applyBorder="1"/>
    <xf numFmtId="0" fontId="3" fillId="0" borderId="6" xfId="0" applyFont="1" applyBorder="1"/>
    <xf numFmtId="43" fontId="3" fillId="0" borderId="6" xfId="1" applyFont="1" applyBorder="1"/>
    <xf numFmtId="9" fontId="0" fillId="0" borderId="0" xfId="2" applyFont="1"/>
    <xf numFmtId="43" fontId="3" fillId="0" borderId="11" xfId="1" applyFont="1" applyBorder="1"/>
    <xf numFmtId="0" fontId="3" fillId="0" borderId="1" xfId="0" applyFont="1" applyBorder="1" applyAlignment="1">
      <alignment horizontal="left"/>
    </xf>
    <xf numFmtId="0" fontId="3" fillId="0" borderId="13" xfId="0" applyFont="1" applyBorder="1"/>
    <xf numFmtId="0" fontId="3" fillId="0" borderId="5" xfId="0" applyFont="1" applyBorder="1"/>
    <xf numFmtId="0" fontId="6" fillId="2" borderId="1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0" fontId="3" fillId="4" borderId="1" xfId="0" applyFont="1" applyFill="1" applyBorder="1"/>
    <xf numFmtId="43" fontId="3" fillId="0" borderId="1" xfId="1" applyFont="1" applyBorder="1"/>
    <xf numFmtId="164" fontId="3" fillId="0" borderId="1" xfId="2" applyNumberFormat="1" applyFont="1" applyBorder="1"/>
    <xf numFmtId="43" fontId="3" fillId="0" borderId="1" xfId="0" applyNumberFormat="1" applyFont="1" applyBorder="1"/>
    <xf numFmtId="9" fontId="3" fillId="0" borderId="1" xfId="2" applyFont="1" applyBorder="1"/>
    <xf numFmtId="0" fontId="6" fillId="0" borderId="1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2" borderId="5" xfId="0" applyFont="1" applyFill="1" applyBorder="1"/>
    <xf numFmtId="0" fontId="3" fillId="0" borderId="14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3" fillId="5" borderId="1" xfId="0" applyNumberFormat="1" applyFont="1" applyFill="1" applyBorder="1" applyAlignment="1">
      <alignment horizontal="center"/>
    </xf>
    <xf numFmtId="43" fontId="3" fillId="5" borderId="1" xfId="1" applyFont="1" applyFill="1" applyBorder="1" applyAlignment="1">
      <alignment horizontal="center"/>
    </xf>
    <xf numFmtId="43" fontId="3" fillId="5" borderId="1" xfId="0" applyNumberFormat="1" applyFont="1" applyFill="1" applyBorder="1"/>
    <xf numFmtId="43" fontId="3" fillId="5" borderId="1" xfId="1" applyFont="1" applyFill="1" applyBorder="1"/>
    <xf numFmtId="0" fontId="3" fillId="5" borderId="4" xfId="0" applyFont="1" applyFill="1" applyBorder="1"/>
    <xf numFmtId="0" fontId="3" fillId="5" borderId="1" xfId="0" applyFont="1" applyFill="1" applyBorder="1"/>
    <xf numFmtId="43" fontId="5" fillId="0" borderId="5" xfId="0" applyNumberFormat="1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0" fontId="3" fillId="0" borderId="0" xfId="0" applyFont="1" applyBorder="1"/>
    <xf numFmtId="0" fontId="8" fillId="2" borderId="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" xfId="0" applyFont="1" applyBorder="1"/>
    <xf numFmtId="0" fontId="5" fillId="0" borderId="13" xfId="0" applyFont="1" applyBorder="1" applyAlignment="1">
      <alignment horizontal="right"/>
    </xf>
    <xf numFmtId="0" fontId="6" fillId="0" borderId="10" xfId="0" applyFont="1" applyBorder="1"/>
    <xf numFmtId="0" fontId="8" fillId="0" borderId="10" xfId="0" applyFont="1" applyBorder="1"/>
    <xf numFmtId="0" fontId="6" fillId="0" borderId="7" xfId="0" applyFont="1" applyBorder="1"/>
    <xf numFmtId="0" fontId="6" fillId="0" borderId="1" xfId="0" applyFont="1" applyBorder="1"/>
    <xf numFmtId="43" fontId="3" fillId="0" borderId="0" xfId="0" applyNumberFormat="1" applyFont="1"/>
    <xf numFmtId="0" fontId="3" fillId="0" borderId="15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2" borderId="12" xfId="0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43" fontId="3" fillId="0" borderId="14" xfId="1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2" borderId="1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3" fontId="8" fillId="0" borderId="1" xfId="0" applyNumberFormat="1" applyFont="1" applyBorder="1" applyAlignment="1">
      <alignment horizontal="justify" vertical="top" wrapText="1"/>
    </xf>
    <xf numFmtId="43" fontId="7" fillId="0" borderId="1" xfId="1" applyFont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43" fontId="8" fillId="0" borderId="1" xfId="1" applyFont="1" applyBorder="1"/>
    <xf numFmtId="43" fontId="7" fillId="2" borderId="1" xfId="1" applyFont="1" applyFill="1" applyBorder="1"/>
    <xf numFmtId="0" fontId="10" fillId="0" borderId="1" xfId="0" applyFont="1" applyBorder="1" applyAlignment="1">
      <alignment horizontal="justify" vertical="top" wrapText="1"/>
    </xf>
    <xf numFmtId="49" fontId="10" fillId="0" borderId="1" xfId="0" applyNumberFormat="1" applyFont="1" applyBorder="1" applyAlignment="1">
      <alignment horizontal="justify" vertical="top" wrapText="1"/>
    </xf>
    <xf numFmtId="0" fontId="10" fillId="0" borderId="1" xfId="0" applyNumberFormat="1" applyFont="1" applyBorder="1" applyAlignment="1">
      <alignment horizontal="justify" vertical="top" wrapText="1"/>
    </xf>
    <xf numFmtId="43" fontId="7" fillId="0" borderId="1" xfId="0" applyNumberFormat="1" applyFont="1" applyBorder="1" applyAlignment="1">
      <alignment horizontal="justify" vertical="top" wrapText="1"/>
    </xf>
    <xf numFmtId="43" fontId="7" fillId="0" borderId="1" xfId="0" applyNumberFormat="1" applyFont="1" applyBorder="1" applyAlignment="1">
      <alignment horizontal="center" vertical="top" wrapText="1"/>
    </xf>
    <xf numFmtId="43" fontId="8" fillId="0" borderId="1" xfId="0" applyNumberFormat="1" applyFont="1" applyBorder="1" applyAlignment="1">
      <alignment horizontal="justify" wrapText="1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/>
    <xf numFmtId="0" fontId="3" fillId="0" borderId="1" xfId="0" applyFont="1" applyBorder="1" applyAlignment="1">
      <alignment vertical="center"/>
    </xf>
    <xf numFmtId="0" fontId="7" fillId="2" borderId="1" xfId="0" applyFont="1" applyFill="1" applyBorder="1" applyAlignment="1"/>
    <xf numFmtId="0" fontId="3" fillId="0" borderId="1" xfId="0" applyNumberFormat="1" applyFont="1" applyBorder="1"/>
    <xf numFmtId="43" fontId="8" fillId="0" borderId="1" xfId="0" applyNumberFormat="1" applyFont="1" applyBorder="1"/>
    <xf numFmtId="0" fontId="8" fillId="3" borderId="1" xfId="0" applyFont="1" applyFill="1" applyBorder="1"/>
    <xf numFmtId="43" fontId="8" fillId="3" borderId="1" xfId="0" applyNumberFormat="1" applyFont="1" applyFill="1" applyBorder="1"/>
    <xf numFmtId="43" fontId="7" fillId="0" borderId="1" xfId="0" applyNumberFormat="1" applyFont="1" applyBorder="1"/>
    <xf numFmtId="43" fontId="7" fillId="0" borderId="1" xfId="1" applyFont="1" applyBorder="1"/>
    <xf numFmtId="0" fontId="8" fillId="0" borderId="1" xfId="0" applyFont="1" applyBorder="1" applyAlignment="1">
      <alignment horizontal="left"/>
    </xf>
    <xf numFmtId="43" fontId="8" fillId="0" borderId="0" xfId="0" applyNumberFormat="1" applyFont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3" fontId="7" fillId="3" borderId="1" xfId="0" applyNumberFormat="1" applyFont="1" applyFill="1" applyBorder="1"/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</xdr:colOff>
      <xdr:row>20</xdr:row>
      <xdr:rowOff>76200</xdr:rowOff>
    </xdr:from>
    <xdr:ext cx="4162425" cy="1297919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38099" y="5791200"/>
          <a:ext cx="4162425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MX" sz="1100"/>
            <a:t>                                                                     Costos fijos</a:t>
          </a:r>
        </a:p>
        <a:p>
          <a:r>
            <a:rPr lang="es-MX" sz="1100"/>
            <a:t>Punto de equilibrio en ventas = ---------------------------------</a:t>
          </a:r>
        </a:p>
        <a:p>
          <a:r>
            <a:rPr lang="es-MX" sz="1100"/>
            <a:t>                                                         </a:t>
          </a:r>
          <a:r>
            <a:rPr lang="es-MX" sz="1100" baseline="0"/>
            <a:t>         Costos variables</a:t>
          </a:r>
        </a:p>
        <a:p>
          <a:r>
            <a:rPr lang="es-MX" sz="1100" baseline="0"/>
            <a:t>                                                          1-   -------------------------</a:t>
          </a:r>
        </a:p>
        <a:p>
          <a:r>
            <a:rPr lang="es-MX" sz="1100" baseline="0"/>
            <a:t>                                                                    Ventas totales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="90" zoomScaleNormal="90" workbookViewId="0">
      <selection activeCell="H5" sqref="H5"/>
    </sheetView>
  </sheetViews>
  <sheetFormatPr baseColWidth="10" defaultRowHeight="15"/>
  <cols>
    <col min="1" max="1" width="26" bestFit="1" customWidth="1"/>
    <col min="2" max="2" width="7.42578125" bestFit="1" customWidth="1"/>
    <col min="3" max="3" width="11.5703125" bestFit="1" customWidth="1"/>
    <col min="4" max="6" width="11.85546875" bestFit="1" customWidth="1"/>
    <col min="7" max="8" width="13" bestFit="1" customWidth="1"/>
  </cols>
  <sheetData>
    <row r="1" spans="1:8">
      <c r="A1" s="138" t="s">
        <v>108</v>
      </c>
      <c r="B1" s="139"/>
      <c r="C1" s="139"/>
      <c r="D1" s="139"/>
      <c r="E1" s="139"/>
      <c r="F1" s="139"/>
      <c r="G1" s="139"/>
      <c r="H1" s="140"/>
    </row>
    <row r="2" spans="1:8" ht="14.25" customHeight="1">
      <c r="A2" s="14">
        <v>1</v>
      </c>
      <c r="B2" s="6"/>
      <c r="C2" s="6"/>
      <c r="D2" s="6"/>
      <c r="E2" s="6"/>
      <c r="F2" s="6"/>
      <c r="G2" s="6"/>
      <c r="H2" s="6"/>
    </row>
    <row r="3" spans="1:8">
      <c r="A3" s="144" t="s">
        <v>26</v>
      </c>
      <c r="B3" s="142" t="s">
        <v>27</v>
      </c>
      <c r="C3" s="144" t="s">
        <v>1</v>
      </c>
      <c r="D3" s="144" t="s">
        <v>2</v>
      </c>
      <c r="E3" s="144" t="s">
        <v>61</v>
      </c>
      <c r="F3" s="141" t="s">
        <v>29</v>
      </c>
      <c r="G3" s="141"/>
      <c r="H3" s="10" t="s">
        <v>30</v>
      </c>
    </row>
    <row r="4" spans="1:8">
      <c r="A4" s="145"/>
      <c r="B4" s="143"/>
      <c r="C4" s="145"/>
      <c r="D4" s="145"/>
      <c r="E4" s="145"/>
      <c r="F4" s="11" t="s">
        <v>15</v>
      </c>
      <c r="G4" s="11" t="s">
        <v>28</v>
      </c>
      <c r="H4" s="12" t="s">
        <v>31</v>
      </c>
    </row>
    <row r="5" spans="1:8">
      <c r="A5" s="13" t="s">
        <v>160</v>
      </c>
      <c r="B5" s="7" t="s">
        <v>165</v>
      </c>
      <c r="C5" s="7">
        <v>1</v>
      </c>
      <c r="D5" s="8">
        <v>59685</v>
      </c>
      <c r="E5" s="8">
        <f>+C5*D5</f>
        <v>59685</v>
      </c>
      <c r="F5" s="8">
        <f>+E5</f>
        <v>59685</v>
      </c>
      <c r="G5" s="8">
        <v>0</v>
      </c>
      <c r="H5" s="8">
        <f>+F5+G5</f>
        <v>59685</v>
      </c>
    </row>
    <row r="6" spans="1:8">
      <c r="A6" s="13" t="s">
        <v>161</v>
      </c>
      <c r="B6" s="7" t="str">
        <f>+B5</f>
        <v>Pza</v>
      </c>
      <c r="C6" s="7">
        <v>1</v>
      </c>
      <c r="D6" s="8">
        <v>2815</v>
      </c>
      <c r="E6" s="8">
        <f t="shared" ref="E6:E23" si="0">+C6*D6</f>
        <v>2815</v>
      </c>
      <c r="F6" s="8">
        <f>+E6</f>
        <v>2815</v>
      </c>
      <c r="G6" s="8">
        <v>0</v>
      </c>
      <c r="H6" s="8">
        <f t="shared" ref="H6:H23" si="1">+F6+G6</f>
        <v>2815</v>
      </c>
    </row>
    <row r="7" spans="1:8">
      <c r="A7" s="13" t="s">
        <v>162</v>
      </c>
      <c r="B7" s="7" t="s">
        <v>165</v>
      </c>
      <c r="C7" s="7">
        <v>1</v>
      </c>
      <c r="D7" s="8">
        <v>6500</v>
      </c>
      <c r="E7" s="8">
        <f t="shared" si="0"/>
        <v>6500</v>
      </c>
      <c r="F7" s="8">
        <f>+E7</f>
        <v>6500</v>
      </c>
      <c r="G7" s="8">
        <v>0</v>
      </c>
      <c r="H7" s="8">
        <f t="shared" si="1"/>
        <v>6500</v>
      </c>
    </row>
    <row r="8" spans="1:8">
      <c r="A8" s="13" t="s">
        <v>163</v>
      </c>
      <c r="B8" s="7">
        <v>1</v>
      </c>
      <c r="C8" s="7">
        <v>1</v>
      </c>
      <c r="D8" s="8">
        <v>1000</v>
      </c>
      <c r="E8" s="8">
        <f t="shared" si="0"/>
        <v>1000</v>
      </c>
      <c r="F8" s="8">
        <v>500</v>
      </c>
      <c r="G8" s="8">
        <v>500</v>
      </c>
      <c r="H8" s="8">
        <f t="shared" si="1"/>
        <v>1000</v>
      </c>
    </row>
    <row r="9" spans="1:8">
      <c r="A9" s="13" t="s">
        <v>167</v>
      </c>
      <c r="B9" s="7" t="s">
        <v>168</v>
      </c>
      <c r="C9" s="7">
        <v>4</v>
      </c>
      <c r="D9" s="8">
        <v>500</v>
      </c>
      <c r="E9" s="8">
        <f t="shared" si="0"/>
        <v>2000</v>
      </c>
      <c r="F9" s="8">
        <f>+E9</f>
        <v>2000</v>
      </c>
      <c r="G9" s="8">
        <v>0</v>
      </c>
      <c r="H9" s="8">
        <f t="shared" si="1"/>
        <v>2000</v>
      </c>
    </row>
    <row r="10" spans="1:8">
      <c r="A10" s="13" t="s">
        <v>164</v>
      </c>
      <c r="B10" s="7" t="s">
        <v>169</v>
      </c>
      <c r="C10" s="7">
        <v>1</v>
      </c>
      <c r="D10" s="8">
        <f>3000+3000+2000+8000+2500</f>
        <v>18500</v>
      </c>
      <c r="E10" s="8">
        <f t="shared" si="0"/>
        <v>18500</v>
      </c>
      <c r="F10" s="8">
        <f>+E10</f>
        <v>18500</v>
      </c>
      <c r="G10" s="8">
        <v>0</v>
      </c>
      <c r="H10" s="8">
        <f t="shared" si="1"/>
        <v>18500</v>
      </c>
    </row>
    <row r="11" spans="1:8">
      <c r="A11" s="13" t="s">
        <v>170</v>
      </c>
      <c r="B11" s="7" t="s">
        <v>166</v>
      </c>
      <c r="C11" s="7">
        <v>1</v>
      </c>
      <c r="D11" s="8">
        <v>15000</v>
      </c>
      <c r="E11" s="8">
        <f t="shared" si="0"/>
        <v>15000</v>
      </c>
      <c r="F11" s="8">
        <v>0</v>
      </c>
      <c r="G11" s="8">
        <f>+E11</f>
        <v>15000</v>
      </c>
      <c r="H11" s="8">
        <f t="shared" si="1"/>
        <v>15000</v>
      </c>
    </row>
    <row r="12" spans="1:8">
      <c r="A12" s="13" t="s">
        <v>171</v>
      </c>
      <c r="B12" s="7" t="s">
        <v>166</v>
      </c>
      <c r="C12" s="7">
        <v>1</v>
      </c>
      <c r="D12" s="8">
        <v>15000</v>
      </c>
      <c r="E12" s="8">
        <f t="shared" si="0"/>
        <v>15000</v>
      </c>
      <c r="F12" s="8">
        <v>0</v>
      </c>
      <c r="G12" s="8">
        <f>+E12</f>
        <v>15000</v>
      </c>
      <c r="H12" s="8">
        <f t="shared" si="1"/>
        <v>15000</v>
      </c>
    </row>
    <row r="13" spans="1:8">
      <c r="A13" s="13" t="s">
        <v>172</v>
      </c>
      <c r="B13" s="7" t="s">
        <v>166</v>
      </c>
      <c r="C13" s="7">
        <v>1</v>
      </c>
      <c r="D13" s="8">
        <v>3300</v>
      </c>
      <c r="E13" s="8">
        <f t="shared" si="0"/>
        <v>3300</v>
      </c>
      <c r="F13" s="8">
        <v>0</v>
      </c>
      <c r="G13" s="8">
        <f>+E13</f>
        <v>3300</v>
      </c>
      <c r="H13" s="8">
        <f t="shared" si="1"/>
        <v>3300</v>
      </c>
    </row>
    <row r="14" spans="1:8">
      <c r="A14" s="13" t="s">
        <v>173</v>
      </c>
      <c r="B14" s="7" t="s">
        <v>166</v>
      </c>
      <c r="C14" s="7">
        <v>1</v>
      </c>
      <c r="D14" s="8">
        <f>3000+4800+600+900+1500+1000+3500+1200+4000+400+3000+1500+600</f>
        <v>26000</v>
      </c>
      <c r="E14" s="8">
        <f t="shared" si="0"/>
        <v>26000</v>
      </c>
      <c r="F14" s="8">
        <v>0</v>
      </c>
      <c r="G14" s="8">
        <f>+E14</f>
        <v>26000</v>
      </c>
      <c r="H14" s="8">
        <f t="shared" si="1"/>
        <v>26000</v>
      </c>
    </row>
    <row r="15" spans="1:8">
      <c r="A15" s="13" t="s">
        <v>174</v>
      </c>
      <c r="B15" s="7" t="s">
        <v>175</v>
      </c>
      <c r="C15" s="7">
        <v>42900</v>
      </c>
      <c r="D15" s="8">
        <v>1</v>
      </c>
      <c r="E15" s="8">
        <f t="shared" si="0"/>
        <v>42900</v>
      </c>
      <c r="F15" s="8">
        <v>0</v>
      </c>
      <c r="G15" s="8">
        <f>+E15</f>
        <v>42900</v>
      </c>
      <c r="H15" s="8">
        <f t="shared" si="1"/>
        <v>42900</v>
      </c>
    </row>
    <row r="16" spans="1:8">
      <c r="A16" s="13"/>
      <c r="B16" s="6"/>
      <c r="C16" s="6"/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>
      <c r="A17" s="13"/>
      <c r="B17" s="6"/>
      <c r="C17" s="6"/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1:8">
      <c r="A18" s="13"/>
      <c r="B18" s="6"/>
      <c r="C18" s="6"/>
      <c r="D18" s="8">
        <v>0</v>
      </c>
      <c r="E18" s="8">
        <f t="shared" si="0"/>
        <v>0</v>
      </c>
      <c r="F18" s="8">
        <v>0</v>
      </c>
      <c r="G18" s="8">
        <v>0</v>
      </c>
      <c r="H18" s="8">
        <f t="shared" si="1"/>
        <v>0</v>
      </c>
    </row>
    <row r="19" spans="1:8">
      <c r="A19" s="13"/>
      <c r="B19" s="6"/>
      <c r="C19" s="6"/>
      <c r="D19" s="8">
        <v>0</v>
      </c>
      <c r="E19" s="8">
        <f t="shared" si="0"/>
        <v>0</v>
      </c>
      <c r="F19" s="8">
        <v>0</v>
      </c>
      <c r="G19" s="8">
        <v>0</v>
      </c>
      <c r="H19" s="8">
        <f t="shared" si="1"/>
        <v>0</v>
      </c>
    </row>
    <row r="20" spans="1:8">
      <c r="A20" s="13"/>
      <c r="B20" s="6"/>
      <c r="C20" s="6"/>
      <c r="D20" s="8">
        <v>0</v>
      </c>
      <c r="E20" s="8">
        <f t="shared" si="0"/>
        <v>0</v>
      </c>
      <c r="F20" s="8">
        <v>0</v>
      </c>
      <c r="G20" s="8">
        <v>0</v>
      </c>
      <c r="H20" s="8">
        <f t="shared" si="1"/>
        <v>0</v>
      </c>
    </row>
    <row r="21" spans="1:8">
      <c r="A21" s="13"/>
      <c r="B21" s="6"/>
      <c r="C21" s="6"/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>
      <c r="A22" s="13"/>
      <c r="B22" s="6"/>
      <c r="C22" s="6"/>
      <c r="D22" s="8">
        <v>0</v>
      </c>
      <c r="E22" s="8">
        <f t="shared" si="0"/>
        <v>0</v>
      </c>
      <c r="F22" s="8">
        <v>0</v>
      </c>
      <c r="G22" s="8">
        <v>0</v>
      </c>
      <c r="H22" s="8">
        <f t="shared" si="1"/>
        <v>0</v>
      </c>
    </row>
    <row r="23" spans="1:8">
      <c r="A23" s="13"/>
      <c r="B23" s="6"/>
      <c r="C23" s="6"/>
      <c r="D23" s="8">
        <v>0</v>
      </c>
      <c r="E23" s="8">
        <f t="shared" si="0"/>
        <v>0</v>
      </c>
      <c r="F23" s="8">
        <v>0</v>
      </c>
      <c r="G23" s="8">
        <v>0</v>
      </c>
      <c r="H23" s="8">
        <f t="shared" si="1"/>
        <v>0</v>
      </c>
    </row>
    <row r="24" spans="1:8">
      <c r="A24" s="15" t="s">
        <v>12</v>
      </c>
      <c r="B24" s="16"/>
      <c r="C24" s="16"/>
      <c r="D24" s="16"/>
      <c r="E24" s="16"/>
      <c r="F24" s="17">
        <f>SUM(F5:F23)</f>
        <v>90000</v>
      </c>
      <c r="G24" s="17">
        <f>SUM(G5:G23)</f>
        <v>102700</v>
      </c>
      <c r="H24" s="17">
        <f>SUM(H5:H23)</f>
        <v>192700</v>
      </c>
    </row>
    <row r="26" spans="1:8">
      <c r="A26" s="135" t="s">
        <v>109</v>
      </c>
      <c r="B26" s="136"/>
      <c r="C26" s="136"/>
      <c r="D26" s="136"/>
      <c r="E26" s="136"/>
      <c r="F26" s="136"/>
      <c r="G26" s="136"/>
      <c r="H26" s="137"/>
    </row>
    <row r="27" spans="1:8">
      <c r="A27" s="135" t="s">
        <v>110</v>
      </c>
      <c r="B27" s="136"/>
      <c r="C27" s="136"/>
      <c r="D27" s="136"/>
      <c r="E27" s="136"/>
      <c r="F27" s="136"/>
      <c r="G27" s="136"/>
      <c r="H27" s="137"/>
    </row>
  </sheetData>
  <mergeCells count="9">
    <mergeCell ref="A26:H26"/>
    <mergeCell ref="A27:H27"/>
    <mergeCell ref="A1:H1"/>
    <mergeCell ref="F3:G3"/>
    <mergeCell ref="B3:B4"/>
    <mergeCell ref="C3:C4"/>
    <mergeCell ref="D3:D4"/>
    <mergeCell ref="A3:A4"/>
    <mergeCell ref="E3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workbookViewId="0">
      <selection activeCell="G16" sqref="G16"/>
    </sheetView>
  </sheetViews>
  <sheetFormatPr baseColWidth="10" defaultRowHeight="15"/>
  <cols>
    <col min="1" max="1" width="48.7109375" bestFit="1" customWidth="1"/>
    <col min="2" max="5" width="13" bestFit="1" customWidth="1"/>
  </cols>
  <sheetData>
    <row r="1" spans="1:5">
      <c r="A1" s="186" t="s">
        <v>39</v>
      </c>
      <c r="B1" s="186"/>
      <c r="C1" s="186"/>
      <c r="D1" s="186"/>
      <c r="E1" s="186"/>
    </row>
    <row r="2" spans="1:5">
      <c r="A2" s="9">
        <v>10</v>
      </c>
      <c r="B2" s="6"/>
      <c r="C2" s="6"/>
      <c r="D2" s="6"/>
      <c r="E2" s="6"/>
    </row>
    <row r="3" spans="1:5">
      <c r="A3" s="185" t="s">
        <v>40</v>
      </c>
      <c r="B3" s="141" t="s">
        <v>41</v>
      </c>
      <c r="C3" s="141"/>
      <c r="D3" s="141"/>
      <c r="E3" s="141"/>
    </row>
    <row r="4" spans="1:5">
      <c r="A4" s="185"/>
      <c r="B4" s="52">
        <v>1</v>
      </c>
      <c r="C4" s="52">
        <v>2</v>
      </c>
      <c r="D4" s="52">
        <v>3</v>
      </c>
      <c r="E4" s="52">
        <v>4</v>
      </c>
    </row>
    <row r="5" spans="1:5" ht="7.5" customHeight="1">
      <c r="A5" s="187"/>
      <c r="B5" s="187"/>
      <c r="C5" s="187"/>
      <c r="D5" s="187"/>
      <c r="E5" s="187"/>
    </row>
    <row r="6" spans="1:5">
      <c r="A6" s="73" t="s">
        <v>10</v>
      </c>
      <c r="B6" s="8">
        <f>+Proy.VtasCost!C8</f>
        <v>867205</v>
      </c>
      <c r="C6" s="8">
        <f>+Proy.VtasCost!E8</f>
        <v>884549.1</v>
      </c>
      <c r="D6" s="8">
        <f>+Proy.VtasCost!G8</f>
        <v>981849.50100000005</v>
      </c>
      <c r="E6" s="8">
        <f>+Proy.VtasCost!I8</f>
        <v>981849.50100000005</v>
      </c>
    </row>
    <row r="7" spans="1:5">
      <c r="A7" s="74" t="s">
        <v>42</v>
      </c>
      <c r="B7" s="8"/>
      <c r="C7" s="8"/>
      <c r="D7" s="8"/>
      <c r="E7" s="8"/>
    </row>
    <row r="8" spans="1:5">
      <c r="A8" s="73" t="s">
        <v>43</v>
      </c>
      <c r="B8" s="8">
        <f>+Proy.VtasCost!C13</f>
        <v>469695</v>
      </c>
      <c r="C8" s="8">
        <f>+Proy.VtasCost!E13</f>
        <v>483785.85000000003</v>
      </c>
      <c r="D8" s="8">
        <f>+Proy.VtasCost!G13</f>
        <v>537002.29350000003</v>
      </c>
      <c r="E8" s="8">
        <f>+Proy.VtasCost!I13</f>
        <v>542372.31643500004</v>
      </c>
    </row>
    <row r="9" spans="1:5">
      <c r="A9" s="74" t="s">
        <v>45</v>
      </c>
      <c r="B9" s="8"/>
      <c r="C9" s="8"/>
      <c r="D9" s="8"/>
      <c r="E9" s="8"/>
    </row>
    <row r="10" spans="1:5">
      <c r="A10" s="73" t="s">
        <v>44</v>
      </c>
      <c r="B10" s="8">
        <f>+B6-B8</f>
        <v>397510</v>
      </c>
      <c r="C10" s="8">
        <f>+C6-C8</f>
        <v>400763.24999999994</v>
      </c>
      <c r="D10" s="8">
        <f>+D6-D8</f>
        <v>444847.20750000002</v>
      </c>
      <c r="E10" s="8">
        <f>+E6-E8</f>
        <v>439477.184565</v>
      </c>
    </row>
    <row r="11" spans="1:5">
      <c r="A11" s="74" t="s">
        <v>42</v>
      </c>
      <c r="B11" s="8"/>
      <c r="C11" s="8"/>
      <c r="D11" s="8"/>
      <c r="E11" s="8"/>
    </row>
    <row r="12" spans="1:5">
      <c r="A12" s="73" t="s">
        <v>46</v>
      </c>
      <c r="B12" s="8">
        <f>+'Gastos Men'!C20</f>
        <v>235044</v>
      </c>
      <c r="C12" s="8">
        <f t="shared" ref="C12:E13" si="0">+B12</f>
        <v>235044</v>
      </c>
      <c r="D12" s="8">
        <f t="shared" si="0"/>
        <v>235044</v>
      </c>
      <c r="E12" s="8">
        <f t="shared" si="0"/>
        <v>235044</v>
      </c>
    </row>
    <row r="13" spans="1:5">
      <c r="A13" s="73" t="s">
        <v>47</v>
      </c>
      <c r="B13" s="8">
        <f>+'Gastos Men'!D20</f>
        <v>18000</v>
      </c>
      <c r="C13" s="8">
        <f t="shared" si="0"/>
        <v>18000</v>
      </c>
      <c r="D13" s="8">
        <f t="shared" si="0"/>
        <v>18000</v>
      </c>
      <c r="E13" s="8">
        <f t="shared" si="0"/>
        <v>18000</v>
      </c>
    </row>
    <row r="14" spans="1:5">
      <c r="A14" s="73" t="s">
        <v>48</v>
      </c>
      <c r="B14" s="8">
        <f>+Crédito!E30</f>
        <v>10050</v>
      </c>
      <c r="C14" s="8">
        <f>+Crédito!E31</f>
        <v>3900</v>
      </c>
      <c r="D14" s="8">
        <v>0</v>
      </c>
      <c r="E14" s="8">
        <v>0</v>
      </c>
    </row>
    <row r="15" spans="1:5">
      <c r="A15" s="74" t="s">
        <v>45</v>
      </c>
      <c r="B15" s="8"/>
      <c r="C15" s="8"/>
      <c r="D15" s="8"/>
      <c r="E15" s="8"/>
    </row>
    <row r="16" spans="1:5">
      <c r="A16" s="73" t="s">
        <v>58</v>
      </c>
      <c r="B16" s="8">
        <f>+B10-B12-B13-B14</f>
        <v>134416</v>
      </c>
      <c r="C16" s="8">
        <f>+C10-C12-C13-C14</f>
        <v>143819.24999999994</v>
      </c>
      <c r="D16" s="8">
        <f>+D10-D12-D13-D14</f>
        <v>191803.20750000002</v>
      </c>
      <c r="E16" s="8">
        <f>+E10-E12-E13-E14</f>
        <v>186433.184565</v>
      </c>
    </row>
    <row r="17" spans="1:5">
      <c r="A17" s="74" t="s">
        <v>42</v>
      </c>
      <c r="B17" s="8"/>
      <c r="C17" s="8"/>
      <c r="D17" s="8"/>
      <c r="E17" s="8"/>
    </row>
    <row r="18" spans="1:5">
      <c r="A18" s="73" t="s">
        <v>218</v>
      </c>
      <c r="B18" s="8">
        <f>+B16*0.18</f>
        <v>24194.879999999997</v>
      </c>
      <c r="C18" s="8">
        <f>+C16*0.18</f>
        <v>25887.464999999989</v>
      </c>
      <c r="D18" s="8">
        <f>+D16*0.18</f>
        <v>34524.57735</v>
      </c>
      <c r="E18" s="8">
        <f>+E16*0.18</f>
        <v>33557.973221699998</v>
      </c>
    </row>
    <row r="19" spans="1:5">
      <c r="A19" s="73" t="s">
        <v>219</v>
      </c>
      <c r="B19" s="8">
        <f>+B16*0.1</f>
        <v>13441.6</v>
      </c>
      <c r="C19" s="8">
        <f t="shared" ref="C19:E19" si="1">+C16*0.1</f>
        <v>14381.924999999996</v>
      </c>
      <c r="D19" s="8">
        <f t="shared" si="1"/>
        <v>19180.320750000003</v>
      </c>
      <c r="E19" s="8">
        <f t="shared" si="1"/>
        <v>18643.318456500001</v>
      </c>
    </row>
    <row r="20" spans="1:5">
      <c r="A20" s="74" t="s">
        <v>45</v>
      </c>
      <c r="B20" s="8"/>
      <c r="C20" s="8"/>
      <c r="D20" s="8"/>
      <c r="E20" s="8"/>
    </row>
    <row r="21" spans="1:5">
      <c r="A21" s="73" t="s">
        <v>135</v>
      </c>
      <c r="B21" s="8">
        <f>+B16-B18-B19</f>
        <v>96779.51999999999</v>
      </c>
      <c r="C21" s="8">
        <f t="shared" ref="C21:E21" si="2">+C16-C18-C19</f>
        <v>103549.85999999996</v>
      </c>
      <c r="D21" s="8">
        <f t="shared" si="2"/>
        <v>138098.3094</v>
      </c>
      <c r="E21" s="8">
        <f t="shared" si="2"/>
        <v>134231.89288679999</v>
      </c>
    </row>
    <row r="22" spans="1:5">
      <c r="A22" s="74" t="s">
        <v>42</v>
      </c>
      <c r="B22" s="8"/>
      <c r="C22" s="8"/>
      <c r="D22" s="8"/>
      <c r="E22" s="8"/>
    </row>
    <row r="23" spans="1:5">
      <c r="A23" s="73" t="s">
        <v>144</v>
      </c>
      <c r="B23" s="8">
        <f>+Crédito!C30</f>
        <v>30000</v>
      </c>
      <c r="C23" s="8">
        <f>+Crédito!C31</f>
        <v>60000</v>
      </c>
      <c r="D23" s="8">
        <v>0</v>
      </c>
      <c r="E23" s="8">
        <v>0</v>
      </c>
    </row>
    <row r="24" spans="1:5">
      <c r="A24" s="74" t="s">
        <v>45</v>
      </c>
      <c r="B24" s="8"/>
      <c r="C24" s="8"/>
      <c r="D24" s="8"/>
      <c r="E24" s="8"/>
    </row>
    <row r="25" spans="1:5">
      <c r="A25" s="75" t="s">
        <v>49</v>
      </c>
      <c r="B25" s="19">
        <f>+B21-B23</f>
        <v>66779.51999999999</v>
      </c>
      <c r="C25" s="17">
        <f>+C21-C23</f>
        <v>43549.859999999957</v>
      </c>
      <c r="D25" s="17">
        <f>+D21-D23</f>
        <v>138098.3094</v>
      </c>
      <c r="E25" s="17">
        <f>+E21-E23</f>
        <v>134231.89288679999</v>
      </c>
    </row>
  </sheetData>
  <mergeCells count="4">
    <mergeCell ref="B3:E3"/>
    <mergeCell ref="A3:A4"/>
    <mergeCell ref="A1:E1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05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" zoomScale="90" zoomScaleNormal="90" workbookViewId="0">
      <selection activeCell="L15" sqref="L15"/>
    </sheetView>
  </sheetViews>
  <sheetFormatPr baseColWidth="10" defaultRowHeight="15"/>
  <cols>
    <col min="1" max="1" width="22" bestFit="1" customWidth="1"/>
    <col min="2" max="5" width="14.42578125" bestFit="1" customWidth="1"/>
    <col min="6" max="6" width="22.42578125" bestFit="1" customWidth="1"/>
    <col min="7" max="10" width="14.42578125" bestFit="1" customWidth="1"/>
  </cols>
  <sheetData>
    <row r="1" spans="1:10">
      <c r="A1" s="138" t="s">
        <v>118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>
      <c r="A2" s="9">
        <v>11</v>
      </c>
      <c r="B2" s="6"/>
      <c r="C2" s="6"/>
      <c r="D2" s="6"/>
      <c r="E2" s="6"/>
      <c r="F2" s="6"/>
      <c r="G2" s="6"/>
      <c r="H2" s="6"/>
      <c r="I2" s="6"/>
      <c r="J2" s="6"/>
    </row>
    <row r="3" spans="1:10">
      <c r="A3" s="114" t="s">
        <v>50</v>
      </c>
      <c r="B3" s="114">
        <v>1</v>
      </c>
      <c r="C3" s="114">
        <v>2</v>
      </c>
      <c r="D3" s="114">
        <v>3</v>
      </c>
      <c r="E3" s="114">
        <v>4</v>
      </c>
      <c r="F3" s="114" t="s">
        <v>51</v>
      </c>
      <c r="G3" s="114">
        <v>1</v>
      </c>
      <c r="H3" s="114">
        <v>2</v>
      </c>
      <c r="I3" s="114">
        <v>3</v>
      </c>
      <c r="J3" s="114">
        <v>4</v>
      </c>
    </row>
    <row r="4" spans="1:10">
      <c r="A4" s="120" t="s">
        <v>52</v>
      </c>
      <c r="B4" s="26"/>
      <c r="C4" s="26"/>
      <c r="D4" s="26"/>
      <c r="E4" s="27"/>
      <c r="F4" s="120" t="s">
        <v>52</v>
      </c>
      <c r="G4" s="26"/>
      <c r="H4" s="26"/>
      <c r="I4" s="26"/>
      <c r="J4" s="26"/>
    </row>
    <row r="5" spans="1:10">
      <c r="A5" s="47" t="s">
        <v>192</v>
      </c>
      <c r="B5" s="125">
        <f>+Inversión!G15+G19</f>
        <v>109679.51999999999</v>
      </c>
      <c r="C5" s="105">
        <f>+B5+H19</f>
        <v>153229.37999999995</v>
      </c>
      <c r="D5" s="125">
        <f>+C5+I19</f>
        <v>291327.68939999992</v>
      </c>
      <c r="E5" s="127">
        <f>+D5+J19</f>
        <v>425559.58228679991</v>
      </c>
      <c r="F5" s="47" t="s">
        <v>196</v>
      </c>
      <c r="G5" s="125">
        <f>+Crédito!C30</f>
        <v>30000</v>
      </c>
      <c r="H5" s="125">
        <f>+G12</f>
        <v>60000</v>
      </c>
      <c r="I5" s="47">
        <v>0</v>
      </c>
      <c r="J5" s="47"/>
    </row>
    <row r="6" spans="1:10">
      <c r="A6" s="47" t="s">
        <v>197</v>
      </c>
      <c r="B6" s="125">
        <f>+Inversión!H12</f>
        <v>15000</v>
      </c>
      <c r="C6" s="125">
        <f>+B6</f>
        <v>15000</v>
      </c>
      <c r="D6" s="125">
        <f>+C6</f>
        <v>15000</v>
      </c>
      <c r="E6" s="127">
        <f>+D6</f>
        <v>15000</v>
      </c>
      <c r="F6" s="47"/>
      <c r="G6" s="47">
        <v>0</v>
      </c>
      <c r="H6" s="47">
        <v>0</v>
      </c>
      <c r="I6" s="47">
        <v>0</v>
      </c>
      <c r="J6" s="47"/>
    </row>
    <row r="7" spans="1:10">
      <c r="A7" s="47"/>
      <c r="B7" s="47">
        <v>0</v>
      </c>
      <c r="C7" s="47"/>
      <c r="D7" s="47"/>
      <c r="E7" s="126"/>
      <c r="F7" s="47"/>
      <c r="G7" s="47">
        <v>0</v>
      </c>
      <c r="H7" s="47">
        <v>0</v>
      </c>
      <c r="I7" s="47">
        <v>0</v>
      </c>
      <c r="J7" s="47"/>
    </row>
    <row r="8" spans="1:10">
      <c r="A8" s="47"/>
      <c r="B8" s="47">
        <v>0</v>
      </c>
      <c r="C8" s="47"/>
      <c r="D8" s="47"/>
      <c r="E8" s="126"/>
      <c r="F8" s="47"/>
      <c r="G8" s="47">
        <v>0</v>
      </c>
      <c r="H8" s="47">
        <v>0</v>
      </c>
      <c r="I8" s="47">
        <v>0</v>
      </c>
      <c r="J8" s="47"/>
    </row>
    <row r="9" spans="1:10">
      <c r="A9" s="47"/>
      <c r="B9" s="47">
        <v>0</v>
      </c>
      <c r="C9" s="47"/>
      <c r="D9" s="47"/>
      <c r="E9" s="126"/>
      <c r="F9" s="47"/>
      <c r="G9" s="47">
        <v>0</v>
      </c>
      <c r="H9" s="47">
        <v>0</v>
      </c>
      <c r="I9" s="47">
        <v>0</v>
      </c>
      <c r="J9" s="47"/>
    </row>
    <row r="10" spans="1:10">
      <c r="A10" s="44" t="s">
        <v>145</v>
      </c>
      <c r="B10" s="128">
        <f>SUM(B5:B9)</f>
        <v>124679.51999999999</v>
      </c>
      <c r="C10" s="128">
        <f>+C5+C6</f>
        <v>168229.37999999995</v>
      </c>
      <c r="D10" s="129">
        <f>SUM(D5:D9)</f>
        <v>306327.68939999992</v>
      </c>
      <c r="E10" s="129">
        <f>SUM(E5:E9)</f>
        <v>440559.58228679991</v>
      </c>
      <c r="F10" s="44" t="s">
        <v>146</v>
      </c>
      <c r="G10" s="128">
        <f>SUM(G5:G9)</f>
        <v>30000</v>
      </c>
      <c r="H10" s="128">
        <f>+H5</f>
        <v>60000</v>
      </c>
      <c r="I10" s="47">
        <v>0</v>
      </c>
      <c r="J10" s="47"/>
    </row>
    <row r="11" spans="1:10">
      <c r="A11" s="118" t="s">
        <v>53</v>
      </c>
      <c r="B11" s="47"/>
      <c r="C11" s="47"/>
      <c r="D11" s="47"/>
      <c r="E11" s="126"/>
      <c r="F11" s="118" t="s">
        <v>53</v>
      </c>
      <c r="G11" s="47"/>
      <c r="H11" s="47"/>
      <c r="I11" s="47"/>
      <c r="J11" s="47"/>
    </row>
    <row r="12" spans="1:10">
      <c r="A12" s="130" t="s">
        <v>193</v>
      </c>
      <c r="B12" s="125">
        <f>+Inversión!H14+Inversión!H11</f>
        <v>41000</v>
      </c>
      <c r="C12" s="125">
        <f t="shared" ref="C12:E15" si="0">+B12</f>
        <v>41000</v>
      </c>
      <c r="D12" s="125">
        <f t="shared" si="0"/>
        <v>41000</v>
      </c>
      <c r="E12" s="127">
        <f t="shared" si="0"/>
        <v>41000</v>
      </c>
      <c r="F12" s="130" t="s">
        <v>196</v>
      </c>
      <c r="G12" s="125">
        <f>+Crédito!C31</f>
        <v>60000</v>
      </c>
      <c r="H12" s="125">
        <v>0</v>
      </c>
      <c r="I12" s="47">
        <v>0</v>
      </c>
      <c r="J12" s="47"/>
    </row>
    <row r="13" spans="1:10">
      <c r="A13" s="130" t="s">
        <v>194</v>
      </c>
      <c r="B13" s="131">
        <f>+Inversión!H5+Inversión!H6+Inversión!H7</f>
        <v>69000</v>
      </c>
      <c r="C13" s="125">
        <f t="shared" si="0"/>
        <v>69000</v>
      </c>
      <c r="D13" s="125">
        <f t="shared" si="0"/>
        <v>69000</v>
      </c>
      <c r="E13" s="127">
        <f t="shared" si="0"/>
        <v>69000</v>
      </c>
      <c r="F13" s="118"/>
      <c r="G13" s="47">
        <v>0</v>
      </c>
      <c r="H13" s="47">
        <v>0</v>
      </c>
      <c r="I13" s="47">
        <v>0</v>
      </c>
      <c r="J13" s="47"/>
    </row>
    <row r="14" spans="1:10">
      <c r="A14" s="130" t="s">
        <v>66</v>
      </c>
      <c r="B14" s="125">
        <f>+Inversión!H8+Inversión!H10</f>
        <v>19500</v>
      </c>
      <c r="C14" s="125">
        <f t="shared" si="0"/>
        <v>19500</v>
      </c>
      <c r="D14" s="125">
        <f t="shared" si="0"/>
        <v>19500</v>
      </c>
      <c r="E14" s="127">
        <f t="shared" si="0"/>
        <v>19500</v>
      </c>
      <c r="F14" s="118"/>
      <c r="G14" s="47">
        <v>0</v>
      </c>
      <c r="H14" s="47">
        <v>0</v>
      </c>
      <c r="I14" s="47">
        <v>0</v>
      </c>
      <c r="J14" s="47"/>
    </row>
    <row r="15" spans="1:10">
      <c r="A15" s="47" t="s">
        <v>195</v>
      </c>
      <c r="B15" s="125">
        <f>+Inversión!H9</f>
        <v>2000</v>
      </c>
      <c r="C15" s="125">
        <f t="shared" si="0"/>
        <v>2000</v>
      </c>
      <c r="D15" s="105">
        <f t="shared" si="0"/>
        <v>2000</v>
      </c>
      <c r="E15" s="127">
        <f t="shared" si="0"/>
        <v>2000</v>
      </c>
      <c r="F15" s="47"/>
      <c r="G15" s="47">
        <v>0</v>
      </c>
      <c r="H15" s="47">
        <v>0</v>
      </c>
      <c r="I15" s="47">
        <v>0</v>
      </c>
      <c r="J15" s="47"/>
    </row>
    <row r="16" spans="1:10">
      <c r="A16" s="47"/>
      <c r="B16" s="47">
        <v>0</v>
      </c>
      <c r="C16" s="47">
        <v>0</v>
      </c>
      <c r="D16" s="47"/>
      <c r="E16" s="126"/>
      <c r="F16" s="47"/>
      <c r="G16" s="47">
        <v>0</v>
      </c>
      <c r="H16" s="47">
        <v>0</v>
      </c>
      <c r="I16" s="47">
        <v>0</v>
      </c>
      <c r="J16" s="47"/>
    </row>
    <row r="17" spans="1:10">
      <c r="A17" s="44" t="s">
        <v>148</v>
      </c>
      <c r="B17" s="128">
        <f>SUM(B12:B16)</f>
        <v>131500</v>
      </c>
      <c r="C17" s="128">
        <f>+C12+C13+C14+C15</f>
        <v>131500</v>
      </c>
      <c r="D17" s="128">
        <f>SUM(D12:D16)</f>
        <v>131500</v>
      </c>
      <c r="E17" s="128">
        <f>SUM(E12:E16)</f>
        <v>131500</v>
      </c>
      <c r="F17" s="44" t="s">
        <v>147</v>
      </c>
      <c r="G17" s="128">
        <f>SUM(G12:G16)</f>
        <v>60000</v>
      </c>
      <c r="H17" s="44">
        <v>0</v>
      </c>
      <c r="I17" s="47">
        <v>0</v>
      </c>
      <c r="J17" s="47"/>
    </row>
    <row r="18" spans="1:10">
      <c r="A18" s="118" t="s">
        <v>115</v>
      </c>
      <c r="B18" s="47"/>
      <c r="C18" s="47"/>
      <c r="D18" s="47"/>
      <c r="E18" s="126"/>
      <c r="F18" s="118" t="s">
        <v>157</v>
      </c>
      <c r="G18" s="128">
        <f>+Inversión!G8+Inversión!G11+Inversión!G12+Inversión!G13+Inversión!G14+Inversión!G15</f>
        <v>102700</v>
      </c>
      <c r="H18" s="128">
        <f>+G18+G5</f>
        <v>132700</v>
      </c>
      <c r="I18" s="128">
        <f>+H18+H5</f>
        <v>192700</v>
      </c>
      <c r="J18" s="128">
        <f>+I18</f>
        <v>192700</v>
      </c>
    </row>
    <row r="19" spans="1:10">
      <c r="A19" s="47" t="s">
        <v>172</v>
      </c>
      <c r="B19" s="128">
        <f>+Inversión!H13</f>
        <v>3300</v>
      </c>
      <c r="C19" s="128">
        <f>+B19</f>
        <v>3300</v>
      </c>
      <c r="D19" s="129">
        <f>+C19</f>
        <v>3300</v>
      </c>
      <c r="E19" s="134">
        <f>+D19</f>
        <v>3300</v>
      </c>
      <c r="F19" s="118" t="s">
        <v>55</v>
      </c>
      <c r="G19" s="128">
        <f>+EdoRes!B25</f>
        <v>66779.51999999999</v>
      </c>
      <c r="H19" s="128">
        <f>+EdoRes!C25</f>
        <v>43549.859999999957</v>
      </c>
      <c r="I19" s="128">
        <f>+EdoRes!D25</f>
        <v>138098.3094</v>
      </c>
      <c r="J19" s="128">
        <f>+EdoRes!E25</f>
        <v>134231.89288679999</v>
      </c>
    </row>
    <row r="20" spans="1:10">
      <c r="A20" s="47"/>
      <c r="B20" s="47"/>
      <c r="C20" s="47"/>
      <c r="D20" s="47"/>
      <c r="E20" s="126"/>
      <c r="F20" s="118" t="s">
        <v>206</v>
      </c>
      <c r="G20" s="47"/>
      <c r="H20" s="125">
        <f>+G19</f>
        <v>66779.51999999999</v>
      </c>
      <c r="I20" s="125">
        <f>+H19+H20</f>
        <v>110329.37999999995</v>
      </c>
      <c r="J20" s="125">
        <f>+I19+I20</f>
        <v>248427.68939999994</v>
      </c>
    </row>
    <row r="21" spans="1:10">
      <c r="A21" s="132" t="s">
        <v>31</v>
      </c>
      <c r="B21" s="167"/>
      <c r="C21" s="167"/>
      <c r="D21" s="167"/>
      <c r="E21" s="167"/>
      <c r="F21" s="132" t="s">
        <v>31</v>
      </c>
      <c r="G21" s="167"/>
      <c r="H21" s="167"/>
      <c r="I21" s="167"/>
      <c r="J21" s="167"/>
    </row>
    <row r="22" spans="1:10">
      <c r="A22" s="133" t="s">
        <v>54</v>
      </c>
      <c r="B22" s="128">
        <f>+B10+B17+B19</f>
        <v>259479.52</v>
      </c>
      <c r="C22" s="128">
        <f>+C10+C17+C19</f>
        <v>303029.37999999995</v>
      </c>
      <c r="D22" s="128">
        <f>+D10+D17+D19</f>
        <v>441127.68939999992</v>
      </c>
      <c r="E22" s="128">
        <f>+E10+E17+E19</f>
        <v>575359.58228679991</v>
      </c>
      <c r="F22" s="133" t="s">
        <v>56</v>
      </c>
      <c r="G22" s="128">
        <f>+G10+G17+G18+G19</f>
        <v>259479.52</v>
      </c>
      <c r="H22" s="128">
        <f>+H10+H17+H18+H19+H20</f>
        <v>303029.37999999995</v>
      </c>
      <c r="I22" s="128">
        <f>SUM(I18:I21)</f>
        <v>441127.68939999997</v>
      </c>
      <c r="J22" s="128">
        <f>+J10+J17+J18+J19+J20</f>
        <v>575359.58228679991</v>
      </c>
    </row>
    <row r="23" spans="1:10">
      <c r="A23" s="6"/>
      <c r="B23" s="6"/>
      <c r="C23" s="6"/>
      <c r="D23" s="6"/>
      <c r="E23" s="6"/>
      <c r="F23" s="6"/>
      <c r="G23" s="77"/>
      <c r="H23" s="6"/>
      <c r="I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</row>
    <row r="25" spans="1:10">
      <c r="A25" s="6"/>
      <c r="B25" s="6"/>
      <c r="C25" s="6"/>
      <c r="D25" s="6"/>
      <c r="E25" s="6"/>
      <c r="F25" s="6"/>
      <c r="G25" s="6"/>
      <c r="H25" s="6"/>
      <c r="I25" s="6"/>
    </row>
    <row r="26" spans="1:10">
      <c r="A26" s="174" t="s">
        <v>116</v>
      </c>
      <c r="B26" s="175"/>
      <c r="C26" s="175"/>
      <c r="D26" s="175"/>
      <c r="E26" s="175"/>
      <c r="F26" s="175"/>
      <c r="G26" s="175"/>
      <c r="H26" s="175"/>
      <c r="I26" s="176"/>
    </row>
    <row r="28" spans="1:10">
      <c r="F28" t="s">
        <v>8</v>
      </c>
    </row>
  </sheetData>
  <mergeCells count="4">
    <mergeCell ref="A26:I26"/>
    <mergeCell ref="A1:J1"/>
    <mergeCell ref="G21:J21"/>
    <mergeCell ref="B21:E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verticalDpi="0" r:id="rId1"/>
  <ignoredErrors>
    <ignoredError sqref="C17 C10 I2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L19" sqref="L19"/>
    </sheetView>
  </sheetViews>
  <sheetFormatPr baseColWidth="10" defaultRowHeight="15"/>
  <cols>
    <col min="1" max="1" width="13.42578125" customWidth="1"/>
    <col min="2" max="2" width="8.28515625" customWidth="1"/>
    <col min="3" max="3" width="26.7109375" customWidth="1"/>
    <col min="4" max="4" width="7.42578125" customWidth="1"/>
    <col min="5" max="5" width="16.28515625" customWidth="1"/>
  </cols>
  <sheetData>
    <row r="1" spans="1:5">
      <c r="A1" s="178" t="s">
        <v>122</v>
      </c>
      <c r="B1" s="178"/>
      <c r="C1" s="178"/>
      <c r="D1" s="178"/>
      <c r="E1" s="178"/>
    </row>
    <row r="2" spans="1:5">
      <c r="A2" s="78">
        <v>12</v>
      </c>
      <c r="B2" s="79"/>
      <c r="C2" s="79"/>
      <c r="D2" s="79"/>
      <c r="E2" s="80"/>
    </row>
    <row r="3" spans="1:5">
      <c r="A3" s="81"/>
      <c r="B3" s="82"/>
      <c r="C3" s="82"/>
      <c r="D3" s="82"/>
      <c r="E3" s="83"/>
    </row>
    <row r="4" spans="1:5">
      <c r="A4" s="188" t="s">
        <v>125</v>
      </c>
      <c r="B4" s="189" t="s">
        <v>126</v>
      </c>
      <c r="C4" s="64" t="s">
        <v>127</v>
      </c>
      <c r="D4" s="66"/>
      <c r="E4" s="13"/>
    </row>
    <row r="5" spans="1:5">
      <c r="A5" s="188"/>
      <c r="B5" s="189"/>
      <c r="C5" s="84" t="s">
        <v>124</v>
      </c>
      <c r="D5" s="66"/>
      <c r="E5" s="13"/>
    </row>
    <row r="6" spans="1:5">
      <c r="A6" s="81"/>
      <c r="B6" s="82"/>
      <c r="C6" s="82"/>
      <c r="D6" s="82"/>
      <c r="E6" s="83"/>
    </row>
    <row r="7" spans="1:5">
      <c r="A7" s="191" t="s">
        <v>123</v>
      </c>
      <c r="B7" s="192" t="s">
        <v>126</v>
      </c>
      <c r="C7" s="189" t="s">
        <v>127</v>
      </c>
      <c r="D7" s="189" t="s">
        <v>128</v>
      </c>
      <c r="E7" s="190" t="s">
        <v>124</v>
      </c>
    </row>
    <row r="8" spans="1:5">
      <c r="A8" s="191"/>
      <c r="B8" s="192"/>
      <c r="C8" s="189"/>
      <c r="D8" s="189"/>
      <c r="E8" s="190"/>
    </row>
    <row r="9" spans="1:5">
      <c r="A9" s="81"/>
      <c r="B9" s="82"/>
      <c r="C9" s="82"/>
      <c r="D9" s="82"/>
      <c r="E9" s="83"/>
    </row>
    <row r="10" spans="1:5">
      <c r="A10" s="188" t="s">
        <v>129</v>
      </c>
      <c r="B10" s="189" t="s">
        <v>126</v>
      </c>
      <c r="C10" s="66" t="s">
        <v>130</v>
      </c>
      <c r="D10" s="66"/>
      <c r="E10" s="13"/>
    </row>
    <row r="11" spans="1:5">
      <c r="A11" s="188"/>
      <c r="B11" s="189"/>
      <c r="C11" s="84" t="s">
        <v>124</v>
      </c>
      <c r="D11" s="66"/>
      <c r="E11" s="13"/>
    </row>
    <row r="12" spans="1:5">
      <c r="A12" s="81"/>
      <c r="B12" s="82"/>
      <c r="C12" s="82"/>
      <c r="D12" s="82"/>
      <c r="E12" s="83"/>
    </row>
    <row r="13" spans="1:5" ht="19.5" customHeight="1">
      <c r="A13" s="188" t="s">
        <v>129</v>
      </c>
      <c r="B13" s="189" t="s">
        <v>126</v>
      </c>
      <c r="C13" s="189" t="s">
        <v>131</v>
      </c>
      <c r="D13" s="189"/>
      <c r="E13" s="190"/>
    </row>
    <row r="14" spans="1:5" ht="19.5" customHeight="1">
      <c r="A14" s="188"/>
      <c r="B14" s="189"/>
      <c r="C14" s="189"/>
      <c r="D14" s="189"/>
      <c r="E14" s="190"/>
    </row>
    <row r="15" spans="1:5">
      <c r="A15" s="81"/>
      <c r="B15" s="82"/>
      <c r="C15" s="82"/>
      <c r="D15" s="82"/>
      <c r="E15" s="83"/>
    </row>
    <row r="16" spans="1:5">
      <c r="A16" s="85"/>
      <c r="B16" s="16"/>
      <c r="C16" s="16"/>
      <c r="D16" s="16"/>
      <c r="E16" s="15"/>
    </row>
    <row r="17" spans="1:5">
      <c r="A17" s="154" t="s">
        <v>132</v>
      </c>
      <c r="B17" s="154"/>
      <c r="C17" s="154"/>
      <c r="D17" s="154"/>
      <c r="E17" s="154"/>
    </row>
    <row r="18" spans="1:5">
      <c r="A18" s="154" t="s">
        <v>133</v>
      </c>
      <c r="B18" s="154"/>
      <c r="C18" s="154"/>
      <c r="D18" s="154"/>
      <c r="E18" s="154"/>
    </row>
    <row r="19" spans="1:5">
      <c r="A19" s="6"/>
      <c r="B19" s="6"/>
      <c r="C19" s="6"/>
      <c r="D19" s="6"/>
      <c r="E19" s="6"/>
    </row>
    <row r="20" spans="1:5">
      <c r="A20" s="76" t="s">
        <v>225</v>
      </c>
      <c r="B20" s="6"/>
      <c r="C20" s="6"/>
      <c r="D20" s="6"/>
      <c r="E20" s="6"/>
    </row>
    <row r="21" spans="1:5">
      <c r="A21" s="21" t="s">
        <v>125</v>
      </c>
      <c r="B21" s="22"/>
      <c r="C21" s="86">
        <f>+Balances!C10/Balances!H10</f>
        <v>2.8038229999999991</v>
      </c>
      <c r="D21" s="21"/>
      <c r="E21" s="22"/>
    </row>
    <row r="22" spans="1:5">
      <c r="A22" s="21" t="s">
        <v>123</v>
      </c>
      <c r="B22" s="22"/>
      <c r="C22" s="65">
        <f>+Balances!C10-Balances!H10</f>
        <v>108229.37999999995</v>
      </c>
      <c r="D22" s="21"/>
      <c r="E22" s="22"/>
    </row>
    <row r="23" spans="1:5">
      <c r="A23" s="21" t="s">
        <v>151</v>
      </c>
      <c r="B23" s="22" t="s">
        <v>150</v>
      </c>
      <c r="C23" s="86">
        <f>+(Balances!C10-Balances!C6)/Balances!H10</f>
        <v>2.5538229999999991</v>
      </c>
      <c r="D23" s="21"/>
      <c r="E23" s="22"/>
    </row>
    <row r="24" spans="1:5">
      <c r="A24" s="21" t="s">
        <v>151</v>
      </c>
      <c r="B24" s="53" t="s">
        <v>149</v>
      </c>
      <c r="C24" s="17">
        <f>+Balances!C10-Balances!C6-Balances!H10</f>
        <v>93229.379999999946</v>
      </c>
      <c r="D24" s="21"/>
      <c r="E24" s="22"/>
    </row>
    <row r="25" spans="1:5">
      <c r="A25" s="6"/>
      <c r="B25" s="6"/>
      <c r="C25" s="6"/>
      <c r="D25" s="6"/>
      <c r="E25" s="6"/>
    </row>
  </sheetData>
  <mergeCells count="15">
    <mergeCell ref="A1:E1"/>
    <mergeCell ref="A4:A5"/>
    <mergeCell ref="B4:B5"/>
    <mergeCell ref="A7:A8"/>
    <mergeCell ref="B7:B8"/>
    <mergeCell ref="C7:C8"/>
    <mergeCell ref="D7:D8"/>
    <mergeCell ref="E7:E8"/>
    <mergeCell ref="A17:E17"/>
    <mergeCell ref="A18:E18"/>
    <mergeCell ref="A10:A11"/>
    <mergeCell ref="B10:B11"/>
    <mergeCell ref="A13:A14"/>
    <mergeCell ref="B13:B14"/>
    <mergeCell ref="C13:E14"/>
  </mergeCells>
  <printOptions horizontalCentered="1" verticalCentered="1"/>
  <pageMargins left="0.70866141732283472" right="0.70866141732283472" top="0.78740157480314965" bottom="0.74803149606299213" header="0.31496062992125984" footer="0.31496062992125984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H11" sqref="H11"/>
    </sheetView>
  </sheetViews>
  <sheetFormatPr baseColWidth="10" defaultRowHeight="15"/>
  <cols>
    <col min="1" max="1" width="16.28515625" customWidth="1"/>
    <col min="2" max="2" width="13" bestFit="1" customWidth="1"/>
    <col min="3" max="3" width="13.140625" customWidth="1"/>
    <col min="4" max="5" width="13" bestFit="1" customWidth="1"/>
  </cols>
  <sheetData>
    <row r="1" spans="1:5">
      <c r="A1" s="178" t="s">
        <v>119</v>
      </c>
      <c r="B1" s="178"/>
      <c r="C1" s="178"/>
      <c r="D1" s="178"/>
      <c r="E1" s="178"/>
    </row>
    <row r="2" spans="1:5">
      <c r="A2" s="9">
        <v>13</v>
      </c>
      <c r="B2" s="6"/>
      <c r="C2" s="6"/>
      <c r="D2" s="6"/>
      <c r="E2" s="6"/>
    </row>
    <row r="3" spans="1:5">
      <c r="A3" s="193" t="s">
        <v>40</v>
      </c>
      <c r="B3" s="146" t="s">
        <v>41</v>
      </c>
      <c r="C3" s="146"/>
      <c r="D3" s="146"/>
      <c r="E3" s="146"/>
    </row>
    <row r="4" spans="1:5">
      <c r="A4" s="193"/>
      <c r="B4" s="52">
        <v>1</v>
      </c>
      <c r="C4" s="52">
        <v>2</v>
      </c>
      <c r="D4" s="52">
        <v>3</v>
      </c>
      <c r="E4" s="52">
        <v>4</v>
      </c>
    </row>
    <row r="5" spans="1:5">
      <c r="A5" s="6"/>
      <c r="B5" s="6"/>
      <c r="C5" s="6"/>
      <c r="D5" s="6"/>
      <c r="E5" s="6"/>
    </row>
    <row r="6" spans="1:5">
      <c r="A6" s="26" t="s">
        <v>49</v>
      </c>
      <c r="B6" s="31">
        <f>+EdoRes!B25</f>
        <v>66779.51999999999</v>
      </c>
      <c r="C6" s="31">
        <f>+EdoRes!C25</f>
        <v>43549.859999999957</v>
      </c>
      <c r="D6" s="31">
        <f>+EdoRes!D25</f>
        <v>138098.3094</v>
      </c>
      <c r="E6" s="31">
        <f>+EdoRes!E25</f>
        <v>134231.89288679999</v>
      </c>
    </row>
    <row r="7" spans="1:5">
      <c r="A7" s="6"/>
      <c r="B7" s="6"/>
      <c r="C7" s="6"/>
      <c r="D7" s="6"/>
      <c r="E7" s="6"/>
    </row>
    <row r="8" spans="1:5">
      <c r="A8" s="26" t="s">
        <v>226</v>
      </c>
      <c r="B8" s="31">
        <f>+Inversión!H24</f>
        <v>192700</v>
      </c>
      <c r="C8" s="31">
        <f>+B8</f>
        <v>192700</v>
      </c>
      <c r="D8" s="31">
        <f t="shared" ref="D8:E8" si="0">+C8</f>
        <v>192700</v>
      </c>
      <c r="E8" s="31">
        <f t="shared" si="0"/>
        <v>192700</v>
      </c>
    </row>
    <row r="9" spans="1:5">
      <c r="A9" s="6"/>
      <c r="B9" s="6"/>
      <c r="C9" s="6"/>
      <c r="D9" s="6"/>
      <c r="E9" s="6"/>
    </row>
    <row r="10" spans="1:5">
      <c r="A10" s="87" t="s">
        <v>19</v>
      </c>
      <c r="B10" s="32">
        <f>+B6/B8</f>
        <v>0.34654654903995841</v>
      </c>
      <c r="C10" s="32">
        <f>+C6/C8</f>
        <v>0.22599823559937704</v>
      </c>
      <c r="D10" s="32">
        <f t="shared" ref="D10:E10" si="1">+D6/D8</f>
        <v>0.71664924442138034</v>
      </c>
      <c r="E10" s="32">
        <f t="shared" si="1"/>
        <v>0.69658480999896211</v>
      </c>
    </row>
    <row r="11" spans="1:5" ht="6.75" customHeight="1">
      <c r="A11" s="6"/>
      <c r="B11" s="6"/>
      <c r="C11" s="6"/>
      <c r="D11" s="6"/>
      <c r="E11" s="6"/>
    </row>
    <row r="12" spans="1:5">
      <c r="A12" s="135" t="s">
        <v>201</v>
      </c>
      <c r="B12" s="136"/>
      <c r="C12" s="136"/>
      <c r="D12" s="137"/>
      <c r="E12" s="6"/>
    </row>
    <row r="13" spans="1:5">
      <c r="A13" s="88"/>
      <c r="B13" s="88"/>
      <c r="C13" s="88"/>
      <c r="D13" s="88"/>
      <c r="E13" s="6"/>
    </row>
    <row r="14" spans="1:5">
      <c r="A14" s="6"/>
      <c r="B14" s="6"/>
      <c r="C14" s="6"/>
      <c r="D14" s="6"/>
      <c r="E14" s="6"/>
    </row>
    <row r="15" spans="1:5">
      <c r="A15" s="178" t="s">
        <v>120</v>
      </c>
      <c r="B15" s="178"/>
      <c r="C15" s="178"/>
      <c r="D15" s="178"/>
      <c r="E15" s="178"/>
    </row>
    <row r="16" spans="1:5">
      <c r="A16" s="6"/>
      <c r="B16" s="6"/>
      <c r="C16" s="6"/>
      <c r="D16" s="6"/>
      <c r="E16" s="6"/>
    </row>
    <row r="17" spans="1:5">
      <c r="A17" s="193" t="s">
        <v>40</v>
      </c>
      <c r="B17" s="141" t="s">
        <v>41</v>
      </c>
      <c r="C17" s="141"/>
      <c r="D17" s="141"/>
      <c r="E17" s="141"/>
    </row>
    <row r="18" spans="1:5">
      <c r="A18" s="193"/>
      <c r="B18" s="52">
        <f>+B4</f>
        <v>1</v>
      </c>
      <c r="C18" s="52">
        <f>+C4</f>
        <v>2</v>
      </c>
      <c r="D18" s="52">
        <f>+D4</f>
        <v>3</v>
      </c>
      <c r="E18" s="52">
        <f>+E4</f>
        <v>4</v>
      </c>
    </row>
    <row r="19" spans="1:5">
      <c r="A19" s="6"/>
      <c r="B19" s="6"/>
      <c r="C19" s="6"/>
      <c r="D19" s="6"/>
      <c r="E19" s="6"/>
    </row>
    <row r="20" spans="1:5">
      <c r="A20" s="26" t="s">
        <v>198</v>
      </c>
      <c r="B20" s="31">
        <f>+EdoRes!B21</f>
        <v>96779.51999999999</v>
      </c>
      <c r="C20" s="31">
        <f>+EdoRes!C21</f>
        <v>103549.85999999996</v>
      </c>
      <c r="D20" s="26"/>
      <c r="E20" s="26"/>
    </row>
    <row r="21" spans="1:5">
      <c r="A21" s="6"/>
      <c r="B21" s="6"/>
      <c r="C21" s="6"/>
      <c r="D21" s="6"/>
      <c r="E21" s="6"/>
    </row>
    <row r="22" spans="1:5">
      <c r="A22" s="26" t="s">
        <v>29</v>
      </c>
      <c r="B22" s="31">
        <f>+Inversión!H24</f>
        <v>192700</v>
      </c>
      <c r="C22" s="31">
        <f>+Inversión!H24</f>
        <v>192700</v>
      </c>
      <c r="D22" s="26"/>
      <c r="E22" s="26"/>
    </row>
    <row r="23" spans="1:5">
      <c r="A23" s="6"/>
      <c r="B23" s="6"/>
      <c r="C23" s="6"/>
      <c r="D23" s="6"/>
      <c r="E23" s="6"/>
    </row>
    <row r="24" spans="1:5">
      <c r="A24" s="54" t="s">
        <v>57</v>
      </c>
      <c r="B24" s="31">
        <f>+B22-B20</f>
        <v>95920.48000000001</v>
      </c>
      <c r="C24" s="31">
        <f>+B24-C20</f>
        <v>-7629.3799999999464</v>
      </c>
      <c r="D24" s="26"/>
      <c r="E24" s="26"/>
    </row>
    <row r="25" spans="1:5">
      <c r="A25" s="6"/>
      <c r="B25" s="6"/>
      <c r="C25" s="6"/>
      <c r="D25" s="6"/>
      <c r="E25" s="6"/>
    </row>
    <row r="26" spans="1:5">
      <c r="A26" s="54" t="s">
        <v>121</v>
      </c>
      <c r="B26" s="148" t="s">
        <v>199</v>
      </c>
      <c r="C26" s="148"/>
      <c r="D26" s="148"/>
      <c r="E26" s="148"/>
    </row>
    <row r="27" spans="1:5" ht="7.5" customHeight="1">
      <c r="A27" s="6"/>
      <c r="B27" s="6"/>
      <c r="C27" s="6"/>
      <c r="D27" s="6"/>
      <c r="E27" s="6"/>
    </row>
    <row r="28" spans="1:5">
      <c r="A28" s="135" t="s">
        <v>200</v>
      </c>
      <c r="B28" s="136"/>
      <c r="C28" s="137"/>
      <c r="D28" s="6"/>
      <c r="E28" s="6"/>
    </row>
  </sheetData>
  <mergeCells count="9">
    <mergeCell ref="A28:C28"/>
    <mergeCell ref="B26:E26"/>
    <mergeCell ref="B3:E3"/>
    <mergeCell ref="A3:A4"/>
    <mergeCell ref="A1:E1"/>
    <mergeCell ref="A15:E15"/>
    <mergeCell ref="A17:A18"/>
    <mergeCell ref="B17:E17"/>
    <mergeCell ref="A12:D12"/>
  </mergeCells>
  <printOptions horizontalCentered="1"/>
  <pageMargins left="0.70866141732283472" right="0.70866141732283472" top="0.94488188976377963" bottom="0.74803149606299213" header="0.31496062992125984" footer="0.31496062992125984"/>
  <pageSetup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H16" sqref="H16"/>
    </sheetView>
  </sheetViews>
  <sheetFormatPr baseColWidth="10" defaultRowHeight="15"/>
  <cols>
    <col min="1" max="1" width="26.85546875" bestFit="1" customWidth="1"/>
    <col min="2" max="5" width="13" bestFit="1" customWidth="1"/>
  </cols>
  <sheetData>
    <row r="1" spans="1:5">
      <c r="A1" s="155" t="s">
        <v>63</v>
      </c>
      <c r="B1" s="156"/>
      <c r="C1" s="156"/>
      <c r="D1" s="156"/>
      <c r="E1" s="157"/>
    </row>
    <row r="2" spans="1:5">
      <c r="A2" s="9">
        <v>14</v>
      </c>
      <c r="B2" s="6"/>
      <c r="C2" s="6"/>
      <c r="D2" s="6"/>
      <c r="E2" s="6"/>
    </row>
    <row r="3" spans="1:5">
      <c r="A3" s="185" t="s">
        <v>40</v>
      </c>
      <c r="B3" s="141" t="s">
        <v>41</v>
      </c>
      <c r="C3" s="141"/>
      <c r="D3" s="141"/>
      <c r="E3" s="141"/>
    </row>
    <row r="4" spans="1:5">
      <c r="A4" s="185"/>
      <c r="B4" s="52">
        <v>1</v>
      </c>
      <c r="C4" s="52">
        <v>2</v>
      </c>
      <c r="D4" s="52">
        <v>3</v>
      </c>
      <c r="E4" s="52">
        <v>4</v>
      </c>
    </row>
    <row r="5" spans="1:5">
      <c r="A5" s="187"/>
      <c r="B5" s="187"/>
      <c r="C5" s="187"/>
      <c r="D5" s="187"/>
      <c r="E5" s="187"/>
    </row>
    <row r="6" spans="1:5">
      <c r="A6" s="26" t="s">
        <v>152</v>
      </c>
      <c r="B6" s="31">
        <f>+EdoRes!B6</f>
        <v>867205</v>
      </c>
      <c r="C6" s="31">
        <f>+EdoRes!C6</f>
        <v>884549.1</v>
      </c>
      <c r="D6" s="31">
        <f>+Proy.VtasCost!G8</f>
        <v>981849.50100000005</v>
      </c>
      <c r="E6" s="31">
        <f>+Proy.VtasCost!I8</f>
        <v>981849.50100000005</v>
      </c>
    </row>
    <row r="7" spans="1:5">
      <c r="A7" s="89" t="s">
        <v>42</v>
      </c>
      <c r="B7" s="26"/>
      <c r="C7" s="26"/>
      <c r="D7" s="26"/>
      <c r="E7" s="26"/>
    </row>
    <row r="8" spans="1:5">
      <c r="A8" s="26" t="s">
        <v>43</v>
      </c>
      <c r="B8" s="26"/>
      <c r="C8" s="26"/>
      <c r="D8" s="26"/>
      <c r="E8" s="26"/>
    </row>
    <row r="9" spans="1:5">
      <c r="A9" s="26" t="s">
        <v>153</v>
      </c>
      <c r="B9" s="26"/>
      <c r="C9" s="26"/>
      <c r="D9" s="26"/>
      <c r="E9" s="26"/>
    </row>
    <row r="10" spans="1:5">
      <c r="A10" s="26" t="s">
        <v>154</v>
      </c>
      <c r="B10" s="31">
        <f>+Proy.VtasCost!C13</f>
        <v>469695</v>
      </c>
      <c r="C10" s="31">
        <f>+Proy.VtasCost!E13</f>
        <v>483785.85000000003</v>
      </c>
      <c r="D10" s="31">
        <f>+Proy.VtasCost!G13</f>
        <v>537002.29350000003</v>
      </c>
      <c r="E10" s="31">
        <f>+Proy.VtasCost!I13</f>
        <v>542372.31643500004</v>
      </c>
    </row>
    <row r="11" spans="1:5">
      <c r="A11" s="90" t="s">
        <v>45</v>
      </c>
      <c r="B11" s="26"/>
      <c r="C11" s="26"/>
      <c r="D11" s="26"/>
      <c r="E11" s="26"/>
    </row>
    <row r="12" spans="1:5">
      <c r="A12" s="26" t="s">
        <v>44</v>
      </c>
      <c r="B12" s="26"/>
      <c r="C12" s="26"/>
      <c r="D12" s="26"/>
      <c r="E12" s="26"/>
    </row>
    <row r="13" spans="1:5">
      <c r="A13" s="90" t="s">
        <v>42</v>
      </c>
      <c r="B13" s="26"/>
      <c r="C13" s="26"/>
      <c r="D13" s="26"/>
      <c r="E13" s="26"/>
    </row>
    <row r="14" spans="1:5">
      <c r="A14" s="26" t="s">
        <v>46</v>
      </c>
      <c r="B14" s="26"/>
      <c r="C14" s="26"/>
      <c r="D14" s="26"/>
      <c r="E14" s="26"/>
    </row>
    <row r="15" spans="1:5">
      <c r="A15" s="26" t="s">
        <v>47</v>
      </c>
      <c r="B15" s="26"/>
      <c r="C15" s="26"/>
      <c r="D15" s="26"/>
      <c r="E15" s="26"/>
    </row>
    <row r="16" spans="1:5">
      <c r="A16" s="26" t="s">
        <v>48</v>
      </c>
      <c r="B16" s="26"/>
      <c r="C16" s="26"/>
      <c r="D16" s="26"/>
      <c r="E16" s="26"/>
    </row>
    <row r="17" spans="1:5">
      <c r="A17" s="26" t="s">
        <v>155</v>
      </c>
      <c r="B17" s="31">
        <f>+'Gastos Men'!H18</f>
        <v>260019</v>
      </c>
      <c r="C17" s="31">
        <f>+'Gastos Men'!H18</f>
        <v>260019</v>
      </c>
      <c r="D17" s="31">
        <f>+C17</f>
        <v>260019</v>
      </c>
      <c r="E17" s="31">
        <f>+D17</f>
        <v>260019</v>
      </c>
    </row>
    <row r="18" spans="1:5">
      <c r="A18" s="6"/>
      <c r="B18" s="6"/>
      <c r="C18" s="6"/>
      <c r="D18" s="6"/>
      <c r="E18" s="6"/>
    </row>
    <row r="19" spans="1:5">
      <c r="A19" s="26" t="s">
        <v>136</v>
      </c>
      <c r="B19" s="29">
        <f>+(B17/(1-(B10/B6)))</f>
        <v>567255.60839978873</v>
      </c>
      <c r="C19" s="29">
        <f>+(C17/(1-(C10/C6)))</f>
        <v>573903.85079694807</v>
      </c>
      <c r="D19" s="29">
        <f t="shared" ref="D19:E19" si="0">+(D17/(1-(D10/D6)))</f>
        <v>573903.85079694807</v>
      </c>
      <c r="E19" s="29">
        <f t="shared" si="0"/>
        <v>580916.44883275952</v>
      </c>
    </row>
    <row r="20" spans="1:5">
      <c r="A20" s="6"/>
      <c r="B20" s="6"/>
      <c r="C20" s="6"/>
      <c r="D20" s="6"/>
      <c r="E20" s="6"/>
    </row>
    <row r="21" spans="1:5">
      <c r="A21" s="91"/>
      <c r="B21" s="92"/>
      <c r="C21" s="92"/>
      <c r="D21" s="92"/>
      <c r="E21" s="93"/>
    </row>
    <row r="22" spans="1:5">
      <c r="A22" s="81"/>
      <c r="B22" s="82"/>
      <c r="C22" s="82"/>
      <c r="D22" s="82"/>
      <c r="E22" s="83"/>
    </row>
    <row r="23" spans="1:5">
      <c r="A23" s="81"/>
      <c r="B23" s="82"/>
      <c r="C23" s="82"/>
      <c r="D23" s="82"/>
      <c r="E23" s="83"/>
    </row>
    <row r="24" spans="1:5">
      <c r="A24" s="81"/>
      <c r="B24" s="82"/>
      <c r="C24" s="82"/>
      <c r="D24" s="82"/>
      <c r="E24" s="83"/>
    </row>
    <row r="25" spans="1:5" ht="30" customHeight="1">
      <c r="A25" s="94"/>
      <c r="B25" s="95"/>
      <c r="C25" s="95"/>
      <c r="D25" s="95"/>
      <c r="E25" s="96"/>
    </row>
  </sheetData>
  <mergeCells count="4">
    <mergeCell ref="A3:A4"/>
    <mergeCell ref="B3:E3"/>
    <mergeCell ref="A5:E5"/>
    <mergeCell ref="A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J13" sqref="J13"/>
    </sheetView>
  </sheetViews>
  <sheetFormatPr baseColWidth="10" defaultRowHeight="15"/>
  <cols>
    <col min="1" max="1" width="28.140625" customWidth="1"/>
    <col min="2" max="2" width="12.85546875" bestFit="1" customWidth="1"/>
    <col min="3" max="5" width="12.42578125" bestFit="1" customWidth="1"/>
    <col min="6" max="6" width="13.28515625" bestFit="1" customWidth="1"/>
  </cols>
  <sheetData>
    <row r="1" spans="1:6">
      <c r="A1" s="194" t="s">
        <v>207</v>
      </c>
      <c r="B1" s="195"/>
      <c r="C1" s="195"/>
      <c r="D1" s="195"/>
      <c r="E1" s="195"/>
      <c r="F1" s="196"/>
    </row>
    <row r="2" spans="1:6">
      <c r="A2" s="9">
        <v>15</v>
      </c>
      <c r="B2" s="6"/>
      <c r="C2" s="6"/>
      <c r="D2" s="6"/>
      <c r="E2" s="6"/>
      <c r="F2" s="6"/>
    </row>
    <row r="3" spans="1:6">
      <c r="A3" s="97" t="s">
        <v>69</v>
      </c>
      <c r="B3" s="97">
        <v>0</v>
      </c>
      <c r="C3" s="97">
        <v>1</v>
      </c>
      <c r="D3" s="97">
        <v>2</v>
      </c>
      <c r="E3" s="97">
        <v>3</v>
      </c>
      <c r="F3" s="97">
        <v>4</v>
      </c>
    </row>
    <row r="4" spans="1:6">
      <c r="A4" s="98" t="s">
        <v>29</v>
      </c>
      <c r="B4" s="111">
        <f>+Inversión!H24</f>
        <v>192700</v>
      </c>
      <c r="C4" s="99"/>
      <c r="D4" s="99"/>
      <c r="E4" s="99"/>
      <c r="F4" s="99"/>
    </row>
    <row r="5" spans="1:6">
      <c r="A5" s="100" t="s">
        <v>70</v>
      </c>
      <c r="B5" s="101"/>
      <c r="C5" s="110">
        <f>+EdoRes!B6:E6</f>
        <v>884549.1</v>
      </c>
      <c r="D5" s="110">
        <f>+EdoRes!C6</f>
        <v>884549.1</v>
      </c>
      <c r="E5" s="110">
        <f>+EdoRes!D6</f>
        <v>981849.50100000005</v>
      </c>
      <c r="F5" s="110">
        <f>+EdoRes!E6</f>
        <v>981849.50100000005</v>
      </c>
    </row>
    <row r="6" spans="1:6">
      <c r="A6" s="107" t="s">
        <v>209</v>
      </c>
      <c r="B6" s="101"/>
      <c r="C6" s="102">
        <f>+Proy.VtasCost!C13</f>
        <v>469695</v>
      </c>
      <c r="D6" s="102">
        <f>+Proy.VtasCost!E13</f>
        <v>483785.85000000003</v>
      </c>
      <c r="E6" s="102">
        <f>+Proy.VtasCost!G13</f>
        <v>537002.29350000003</v>
      </c>
      <c r="F6" s="102">
        <f>+Proy.VtasCost!I13</f>
        <v>542372.31643500004</v>
      </c>
    </row>
    <row r="7" spans="1:6" ht="15.75" customHeight="1">
      <c r="A7" s="107" t="s">
        <v>210</v>
      </c>
      <c r="B7" s="101"/>
      <c r="C7" s="102">
        <f>+'Gastos Men'!C20</f>
        <v>235044</v>
      </c>
      <c r="D7" s="102">
        <f t="shared" ref="D7:F8" si="0">+C7</f>
        <v>235044</v>
      </c>
      <c r="E7" s="102">
        <f t="shared" si="0"/>
        <v>235044</v>
      </c>
      <c r="F7" s="102">
        <f t="shared" si="0"/>
        <v>235044</v>
      </c>
    </row>
    <row r="8" spans="1:6">
      <c r="A8" s="107" t="s">
        <v>211</v>
      </c>
      <c r="B8" s="101"/>
      <c r="C8" s="102">
        <f>+'Gastos Men'!D20</f>
        <v>18000</v>
      </c>
      <c r="D8" s="102">
        <f t="shared" si="0"/>
        <v>18000</v>
      </c>
      <c r="E8" s="102">
        <f t="shared" si="0"/>
        <v>18000</v>
      </c>
      <c r="F8" s="102">
        <f t="shared" si="0"/>
        <v>18000</v>
      </c>
    </row>
    <row r="9" spans="1:6">
      <c r="A9" s="108" t="s">
        <v>212</v>
      </c>
      <c r="B9" s="101"/>
      <c r="C9" s="102">
        <f>+'Gastos Men'!E20</f>
        <v>6975</v>
      </c>
      <c r="D9" s="102">
        <f>+C9</f>
        <v>6975</v>
      </c>
      <c r="E9" s="101">
        <v>0</v>
      </c>
      <c r="F9" s="101">
        <v>0</v>
      </c>
    </row>
    <row r="10" spans="1:6">
      <c r="A10" s="100" t="s">
        <v>216</v>
      </c>
      <c r="B10" s="101"/>
      <c r="C10" s="110">
        <f>+C5-C6-C7-C8-C9</f>
        <v>154835.09999999998</v>
      </c>
      <c r="D10" s="110">
        <f>+D5-D6-D7-D8-D9</f>
        <v>140744.24999999994</v>
      </c>
      <c r="E10" s="110">
        <f>+E5-E6-E7-E8-E9</f>
        <v>191803.20750000002</v>
      </c>
      <c r="F10" s="110">
        <f>+F5-F6-F7-F8-F9</f>
        <v>186433.184565</v>
      </c>
    </row>
    <row r="11" spans="1:6">
      <c r="A11" s="107" t="s">
        <v>213</v>
      </c>
      <c r="B11" s="101"/>
      <c r="C11" s="102">
        <f>+EdoRes!B18</f>
        <v>24194.879999999997</v>
      </c>
      <c r="D11" s="102">
        <f>+EdoRes!C18</f>
        <v>25887.464999999989</v>
      </c>
      <c r="E11" s="102">
        <f>+EdoRes!D18</f>
        <v>34524.57735</v>
      </c>
      <c r="F11" s="102">
        <f>+EdoRes!E18</f>
        <v>33557.973221699998</v>
      </c>
    </row>
    <row r="12" spans="1:6">
      <c r="A12" s="108" t="s">
        <v>214</v>
      </c>
      <c r="B12" s="101"/>
      <c r="C12" s="102">
        <f>+EdoRes!B19</f>
        <v>13441.6</v>
      </c>
      <c r="D12" s="102">
        <f>+EdoRes!C19</f>
        <v>14381.924999999996</v>
      </c>
      <c r="E12" s="102">
        <f>+EdoRes!D19</f>
        <v>19180.320750000003</v>
      </c>
      <c r="F12" s="102">
        <f>+EdoRes!E19</f>
        <v>18643.318456500001</v>
      </c>
    </row>
    <row r="13" spans="1:6">
      <c r="A13" s="100" t="s">
        <v>215</v>
      </c>
      <c r="B13" s="101"/>
      <c r="C13" s="110">
        <f>+C10-C11-C12</f>
        <v>117198.61999999997</v>
      </c>
      <c r="D13" s="110">
        <f t="shared" ref="D13:F13" si="1">+D10-D11-D12</f>
        <v>100474.85999999996</v>
      </c>
      <c r="E13" s="110">
        <f t="shared" si="1"/>
        <v>138098.3094</v>
      </c>
      <c r="F13" s="110">
        <f t="shared" si="1"/>
        <v>134231.89288679999</v>
      </c>
    </row>
    <row r="14" spans="1:6">
      <c r="A14" s="107" t="s">
        <v>217</v>
      </c>
      <c r="B14" s="101"/>
      <c r="C14" s="101">
        <v>0</v>
      </c>
      <c r="D14" s="101">
        <v>0</v>
      </c>
      <c r="E14" s="101">
        <v>0</v>
      </c>
      <c r="F14" s="101">
        <v>0</v>
      </c>
    </row>
    <row r="15" spans="1:6" ht="19.5" customHeight="1">
      <c r="A15" s="109" t="s">
        <v>208</v>
      </c>
      <c r="B15" s="101"/>
      <c r="C15" s="112">
        <f>+Crédito!C30</f>
        <v>30000</v>
      </c>
      <c r="D15" s="112">
        <f>+Crédito!C31</f>
        <v>60000</v>
      </c>
      <c r="E15" s="101">
        <v>0</v>
      </c>
      <c r="F15" s="101">
        <v>0</v>
      </c>
    </row>
    <row r="16" spans="1:6">
      <c r="A16" s="100" t="s">
        <v>71</v>
      </c>
      <c r="B16" s="103">
        <f>+(-1)*B4</f>
        <v>-192700</v>
      </c>
      <c r="C16" s="103">
        <f>+C13+C14-C15</f>
        <v>87198.619999999966</v>
      </c>
      <c r="D16" s="103">
        <f t="shared" ref="D16:F16" si="2">+D13+D14-D15</f>
        <v>40474.859999999957</v>
      </c>
      <c r="E16" s="103">
        <f t="shared" si="2"/>
        <v>138098.3094</v>
      </c>
      <c r="F16" s="103">
        <f t="shared" si="2"/>
        <v>134231.89288679999</v>
      </c>
    </row>
    <row r="17" spans="1:6">
      <c r="A17" s="6"/>
      <c r="B17" s="6"/>
      <c r="C17" s="6"/>
      <c r="D17" s="6"/>
      <c r="E17" s="6"/>
      <c r="F17" s="6"/>
    </row>
    <row r="18" spans="1:6">
      <c r="A18" s="6"/>
      <c r="B18" s="6"/>
      <c r="C18" s="6"/>
      <c r="D18" s="6"/>
      <c r="E18" s="6"/>
      <c r="F18" s="6"/>
    </row>
    <row r="19" spans="1:6">
      <c r="A19" s="104" t="s">
        <v>117</v>
      </c>
      <c r="B19" s="105">
        <f>+B16/(1+0.25)^0</f>
        <v>-192700</v>
      </c>
      <c r="C19" s="105">
        <f>+C16/(1+0.25)^1</f>
        <v>69758.895999999979</v>
      </c>
      <c r="D19" s="105">
        <f>+D16/(1+0.25)^2</f>
        <v>25903.910399999972</v>
      </c>
      <c r="E19" s="105">
        <f>+E16/(1+0.25)^3</f>
        <v>70706.334412800003</v>
      </c>
      <c r="F19" s="105">
        <f>+F16/(1+0.25)^4</f>
        <v>54981.383326433279</v>
      </c>
    </row>
    <row r="20" spans="1:6">
      <c r="A20" s="6"/>
      <c r="B20" s="6"/>
      <c r="C20" s="6"/>
      <c r="D20" s="6"/>
      <c r="E20" s="6"/>
      <c r="F20" s="6"/>
    </row>
    <row r="21" spans="1:6">
      <c r="A21" s="154" t="s">
        <v>159</v>
      </c>
      <c r="B21" s="154"/>
      <c r="C21" s="154"/>
      <c r="D21" s="154"/>
      <c r="E21" s="154"/>
      <c r="F21" s="106">
        <f>+B19+C19+D19+E19+F19</f>
        <v>28650.524139233225</v>
      </c>
    </row>
    <row r="23" spans="1:6">
      <c r="D23" s="3"/>
      <c r="E23" s="4"/>
    </row>
  </sheetData>
  <mergeCells count="2">
    <mergeCell ref="A1:F1"/>
    <mergeCell ref="A21:E21"/>
  </mergeCells>
  <printOptions horizontalCentered="1"/>
  <pageMargins left="0.70866141732283472" right="0.70866141732283472" top="2.1259842519685042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S6" sqref="S6"/>
    </sheetView>
  </sheetViews>
  <sheetFormatPr baseColWidth="10" defaultRowHeight="15"/>
  <cols>
    <col min="1" max="1" width="27.85546875" bestFit="1" customWidth="1"/>
    <col min="2" max="3" width="5" customWidth="1"/>
    <col min="4" max="4" width="5.140625" customWidth="1"/>
    <col min="5" max="14" width="5" customWidth="1"/>
    <col min="15" max="15" width="13" bestFit="1" customWidth="1"/>
    <col min="16" max="16" width="6.140625" bestFit="1" customWidth="1"/>
  </cols>
  <sheetData>
    <row r="1" spans="1:18">
      <c r="A1" s="146" t="s">
        <v>72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8" ht="15" customHeight="1">
      <c r="A2" s="20">
        <v>2</v>
      </c>
      <c r="B2" s="149" t="s">
        <v>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  <c r="O2" s="152"/>
      <c r="P2" s="153"/>
    </row>
    <row r="3" spans="1:18">
      <c r="A3" s="121" t="s">
        <v>64</v>
      </c>
      <c r="B3" s="24">
        <v>0</v>
      </c>
      <c r="C3" s="25">
        <v>1</v>
      </c>
      <c r="D3" s="25">
        <v>2</v>
      </c>
      <c r="E3" s="25">
        <v>3</v>
      </c>
      <c r="F3" s="25">
        <v>4</v>
      </c>
      <c r="G3" s="25">
        <v>4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5" t="s">
        <v>65</v>
      </c>
      <c r="P3" s="25" t="s">
        <v>33</v>
      </c>
    </row>
    <row r="4" spans="1:18">
      <c r="A4" s="26" t="s">
        <v>160</v>
      </c>
      <c r="B4" s="27"/>
      <c r="C4" s="28"/>
      <c r="D4" s="28"/>
      <c r="E4" s="27"/>
      <c r="F4" s="27"/>
      <c r="G4" s="27"/>
      <c r="H4" s="27"/>
      <c r="I4" s="27"/>
      <c r="J4" s="27"/>
      <c r="K4" s="27"/>
      <c r="L4" s="27"/>
      <c r="M4" s="27"/>
      <c r="N4" s="27"/>
      <c r="O4" s="29">
        <f>+Inversión!F5</f>
        <v>59685</v>
      </c>
      <c r="P4" s="30">
        <f>+O4/O16</f>
        <v>0.30973015049299429</v>
      </c>
    </row>
    <row r="5" spans="1:18">
      <c r="A5" s="26" t="s">
        <v>161</v>
      </c>
      <c r="B5" s="27"/>
      <c r="C5" s="2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9">
        <f>+Inversión!F6</f>
        <v>2815</v>
      </c>
      <c r="P5" s="30">
        <f>+O5/O16</f>
        <v>1.4608199273482097E-2</v>
      </c>
    </row>
    <row r="6" spans="1:18">
      <c r="A6" s="26" t="s">
        <v>162</v>
      </c>
      <c r="B6" s="27"/>
      <c r="C6" s="28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9">
        <f>+Inversión!F7</f>
        <v>6500</v>
      </c>
      <c r="P6" s="30">
        <f>+O6/O16</f>
        <v>3.3731188375713546E-2</v>
      </c>
    </row>
    <row r="7" spans="1:18">
      <c r="A7" s="26" t="s">
        <v>163</v>
      </c>
      <c r="B7" s="27"/>
      <c r="C7" s="28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9">
        <f>+Inversión!H8</f>
        <v>1000</v>
      </c>
      <c r="P7" s="30">
        <f>+O7/O16</f>
        <v>5.1894135962636222E-3</v>
      </c>
    </row>
    <row r="8" spans="1:18">
      <c r="A8" s="26" t="s">
        <v>167</v>
      </c>
      <c r="B8" s="27"/>
      <c r="C8" s="28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9">
        <f>+Inversión!F9</f>
        <v>2000</v>
      </c>
      <c r="P8" s="30">
        <f>+O8/O16</f>
        <v>1.0378827192527244E-2</v>
      </c>
    </row>
    <row r="9" spans="1:18">
      <c r="A9" s="26" t="s">
        <v>164</v>
      </c>
      <c r="B9" s="27"/>
      <c r="C9" s="28"/>
      <c r="D9" s="28"/>
      <c r="E9" s="27"/>
      <c r="F9" s="27"/>
      <c r="G9" s="27"/>
      <c r="H9" s="27"/>
      <c r="I9" s="27"/>
      <c r="J9" s="27"/>
      <c r="K9" s="27"/>
      <c r="L9" s="27"/>
      <c r="M9" s="27"/>
      <c r="N9" s="27"/>
      <c r="O9" s="29">
        <f>+Inversión!H10</f>
        <v>18500</v>
      </c>
      <c r="P9" s="30">
        <f>+O9/O16</f>
        <v>9.6004151530877005E-2</v>
      </c>
      <c r="R9" s="5"/>
    </row>
    <row r="10" spans="1:18">
      <c r="A10" s="26" t="s">
        <v>170</v>
      </c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1">
        <f>+Inversión!H11</f>
        <v>15000</v>
      </c>
      <c r="P10" s="30">
        <f>+O10/O16</f>
        <v>7.7841203943954329E-2</v>
      </c>
    </row>
    <row r="11" spans="1:18">
      <c r="A11" s="26" t="s">
        <v>171</v>
      </c>
      <c r="B11" s="28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1">
        <f>+Inversión!H12</f>
        <v>15000</v>
      </c>
      <c r="P11" s="30">
        <f>+O11/O16</f>
        <v>7.7841203943954329E-2</v>
      </c>
    </row>
    <row r="12" spans="1:18">
      <c r="A12" s="26" t="s">
        <v>172</v>
      </c>
      <c r="B12" s="28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31">
        <f>+Inversión!H13</f>
        <v>3300</v>
      </c>
      <c r="P12" s="30">
        <f>+O12/O16</f>
        <v>1.7125064867669952E-2</v>
      </c>
    </row>
    <row r="13" spans="1:18">
      <c r="A13" s="26" t="s">
        <v>173</v>
      </c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31">
        <f>+Inversión!H14</f>
        <v>26000</v>
      </c>
      <c r="P13" s="30">
        <f>+O13/O16</f>
        <v>0.13492475350285418</v>
      </c>
    </row>
    <row r="14" spans="1:18">
      <c r="A14" s="26" t="s">
        <v>174</v>
      </c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31">
        <f>+Inversión!H15</f>
        <v>42900</v>
      </c>
      <c r="P14" s="30">
        <f>+O14/O16</f>
        <v>0.22262584327970938</v>
      </c>
    </row>
    <row r="15" spans="1:18">
      <c r="A15" s="26" t="s">
        <v>67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9">
        <v>0</v>
      </c>
      <c r="P15" s="32">
        <f>+O15/O16</f>
        <v>0</v>
      </c>
    </row>
    <row r="16" spans="1:18">
      <c r="A16" s="33" t="s">
        <v>12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29">
        <f>SUM(O4:O15)</f>
        <v>192700</v>
      </c>
      <c r="P16" s="32">
        <f>SUM(P4:P15)</f>
        <v>1</v>
      </c>
    </row>
    <row r="17" spans="1:16" ht="19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>
      <c r="A18" s="23" t="s">
        <v>68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5" t="s">
        <v>65</v>
      </c>
      <c r="P18" s="25" t="s">
        <v>33</v>
      </c>
    </row>
    <row r="19" spans="1:16">
      <c r="A19" s="26" t="s">
        <v>157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31">
        <f>+Inversión!G14+Inversión!G13+Inversión!G12+Inversión!G11</f>
        <v>59300</v>
      </c>
      <c r="P19" s="32">
        <f>+O19/O23</f>
        <v>0.30773222625843277</v>
      </c>
    </row>
    <row r="20" spans="1:16">
      <c r="A20" s="26" t="s">
        <v>15</v>
      </c>
      <c r="B20" s="2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2"/>
      <c r="O20" s="31">
        <f>+Inversión!F24</f>
        <v>90000</v>
      </c>
      <c r="P20" s="32">
        <f>+O20/O23</f>
        <v>0.46704722366372597</v>
      </c>
    </row>
    <row r="21" spans="1:16">
      <c r="A21" s="26" t="s">
        <v>156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1">
        <f>+Inversión!G15+Inversión!G8</f>
        <v>43400</v>
      </c>
      <c r="P21" s="32">
        <f>+O21/O23</f>
        <v>0.2252205500778412</v>
      </c>
    </row>
    <row r="22" spans="1:16">
      <c r="A22" s="26" t="s">
        <v>67</v>
      </c>
      <c r="B22" s="2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2"/>
      <c r="O22" s="29">
        <v>0</v>
      </c>
      <c r="P22" s="32">
        <f>+O22/O23</f>
        <v>0</v>
      </c>
    </row>
    <row r="23" spans="1:16">
      <c r="A23" s="33" t="s">
        <v>12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29">
        <f>SUM(O19:O22)</f>
        <v>192700</v>
      </c>
      <c r="P23" s="32">
        <f>SUM(P19:P22)</f>
        <v>1</v>
      </c>
    </row>
    <row r="24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>
      <c r="A25" s="135" t="s">
        <v>158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</row>
  </sheetData>
  <mergeCells count="6">
    <mergeCell ref="A1:P1"/>
    <mergeCell ref="B16:N16"/>
    <mergeCell ref="B23:N23"/>
    <mergeCell ref="A25:P25"/>
    <mergeCell ref="B2:N2"/>
    <mergeCell ref="O2:P2"/>
  </mergeCells>
  <printOptions horizontalCentered="1"/>
  <pageMargins left="0.70866141732283472" right="0.70866141732283472" top="1.5354330708661419" bottom="0.74803149606299213" header="0.31496062992125984" footer="0.31496062992125984"/>
  <pageSetup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90" zoomScaleNormal="90" workbookViewId="0">
      <selection activeCell="N15" sqref="N15"/>
    </sheetView>
  </sheetViews>
  <sheetFormatPr baseColWidth="10" defaultRowHeight="15"/>
  <cols>
    <col min="1" max="1" width="26" bestFit="1" customWidth="1"/>
    <col min="2" max="2" width="11.85546875" bestFit="1" customWidth="1"/>
    <col min="3" max="4" width="13" bestFit="1" customWidth="1"/>
    <col min="5" max="5" width="4.7109375" bestFit="1" customWidth="1"/>
    <col min="6" max="7" width="10.7109375" customWidth="1"/>
    <col min="8" max="8" width="11.85546875" bestFit="1" customWidth="1"/>
  </cols>
  <sheetData>
    <row r="1" spans="1:8">
      <c r="A1" s="138" t="s">
        <v>108</v>
      </c>
      <c r="B1" s="139"/>
      <c r="C1" s="139"/>
      <c r="D1" s="139"/>
      <c r="E1" s="139"/>
      <c r="F1" s="139"/>
      <c r="G1" s="139"/>
      <c r="H1" s="140"/>
    </row>
    <row r="2" spans="1:8" ht="14.25" customHeight="1">
      <c r="A2" s="14">
        <v>3</v>
      </c>
      <c r="B2" s="6"/>
      <c r="C2" s="6"/>
      <c r="D2" s="6"/>
    </row>
    <row r="3" spans="1:8">
      <c r="A3" s="144" t="s">
        <v>26</v>
      </c>
      <c r="B3" s="141" t="s">
        <v>29</v>
      </c>
      <c r="C3" s="141"/>
      <c r="D3" s="10" t="s">
        <v>30</v>
      </c>
      <c r="E3" s="10" t="s">
        <v>33</v>
      </c>
      <c r="F3" s="144" t="s">
        <v>204</v>
      </c>
      <c r="G3" s="144" t="s">
        <v>10</v>
      </c>
      <c r="H3" s="144" t="s">
        <v>205</v>
      </c>
    </row>
    <row r="4" spans="1:8">
      <c r="A4" s="145"/>
      <c r="B4" s="11" t="s">
        <v>15</v>
      </c>
      <c r="C4" s="11" t="s">
        <v>28</v>
      </c>
      <c r="D4" s="12" t="s">
        <v>31</v>
      </c>
      <c r="E4" s="12" t="s">
        <v>202</v>
      </c>
      <c r="F4" s="145"/>
      <c r="G4" s="145"/>
      <c r="H4" s="145"/>
    </row>
    <row r="5" spans="1:8">
      <c r="A5" s="13" t="s">
        <v>160</v>
      </c>
      <c r="B5" s="8">
        <f>+Inversión!F5</f>
        <v>59685</v>
      </c>
      <c r="C5" s="8">
        <v>0</v>
      </c>
      <c r="D5" s="8">
        <f>+B5+C5</f>
        <v>59685</v>
      </c>
      <c r="E5" s="18">
        <v>0.2</v>
      </c>
      <c r="F5" s="8"/>
      <c r="G5" s="8"/>
      <c r="H5" s="8">
        <f>+E5*D5</f>
        <v>11937</v>
      </c>
    </row>
    <row r="6" spans="1:8">
      <c r="A6" s="13" t="s">
        <v>161</v>
      </c>
      <c r="B6" s="8">
        <f>+Inversión!F6</f>
        <v>2815</v>
      </c>
      <c r="C6" s="8">
        <v>0</v>
      </c>
      <c r="D6" s="8">
        <f t="shared" ref="D6:D23" si="0">+B6+C6</f>
        <v>2815</v>
      </c>
      <c r="E6" s="18">
        <v>0.33</v>
      </c>
      <c r="F6" s="8">
        <f>+D6*E6</f>
        <v>928.95</v>
      </c>
      <c r="G6" s="8"/>
      <c r="H6" s="8"/>
    </row>
    <row r="7" spans="1:8">
      <c r="A7" s="13" t="s">
        <v>162</v>
      </c>
      <c r="B7" s="8">
        <f>+Inversión!F7</f>
        <v>6500</v>
      </c>
      <c r="C7" s="8">
        <v>0</v>
      </c>
      <c r="D7" s="8">
        <f t="shared" si="0"/>
        <v>6500</v>
      </c>
      <c r="E7" s="18">
        <v>0.33</v>
      </c>
      <c r="F7" s="8">
        <f>+D7*E7</f>
        <v>2145</v>
      </c>
      <c r="G7" s="8"/>
      <c r="H7" s="8"/>
    </row>
    <row r="8" spans="1:8">
      <c r="A8" s="13" t="s">
        <v>163</v>
      </c>
      <c r="B8" s="8">
        <f>+Inversión!F8</f>
        <v>500</v>
      </c>
      <c r="C8" s="8">
        <f>+Inversión!G8</f>
        <v>500</v>
      </c>
      <c r="D8" s="8">
        <f t="shared" si="0"/>
        <v>1000</v>
      </c>
      <c r="E8" s="18">
        <v>0.1</v>
      </c>
      <c r="F8" s="8"/>
      <c r="G8" s="8">
        <f>+D8*E8</f>
        <v>100</v>
      </c>
      <c r="H8" s="8"/>
    </row>
    <row r="9" spans="1:8">
      <c r="A9" s="13" t="s">
        <v>167</v>
      </c>
      <c r="B9" s="8">
        <f>+Inversión!F9</f>
        <v>2000</v>
      </c>
      <c r="C9" s="8">
        <v>0</v>
      </c>
      <c r="D9" s="8">
        <f t="shared" si="0"/>
        <v>2000</v>
      </c>
      <c r="E9" s="18">
        <v>0</v>
      </c>
      <c r="F9" s="8"/>
      <c r="G9" s="8"/>
      <c r="H9" s="8"/>
    </row>
    <row r="10" spans="1:8">
      <c r="A10" s="13" t="s">
        <v>164</v>
      </c>
      <c r="B10" s="8">
        <f>+Inversión!F10</f>
        <v>18500</v>
      </c>
      <c r="C10" s="8">
        <v>0</v>
      </c>
      <c r="D10" s="8">
        <f t="shared" si="0"/>
        <v>18500</v>
      </c>
      <c r="E10" s="18">
        <v>0.1</v>
      </c>
      <c r="F10" s="8"/>
      <c r="G10" s="8">
        <f>+D10*E10</f>
        <v>1850</v>
      </c>
      <c r="H10" s="8"/>
    </row>
    <row r="11" spans="1:8">
      <c r="A11" s="13" t="s">
        <v>170</v>
      </c>
      <c r="B11" s="8">
        <v>0</v>
      </c>
      <c r="C11" s="8">
        <f>+Inversión!G11</f>
        <v>15000</v>
      </c>
      <c r="D11" s="8">
        <f t="shared" si="0"/>
        <v>15000</v>
      </c>
      <c r="E11" s="18">
        <v>0.2</v>
      </c>
      <c r="F11" s="8"/>
      <c r="G11" s="8"/>
      <c r="H11" s="8">
        <f>+D11*E11</f>
        <v>3000</v>
      </c>
    </row>
    <row r="12" spans="1:8">
      <c r="A12" s="13" t="s">
        <v>171</v>
      </c>
      <c r="B12" s="8">
        <v>0</v>
      </c>
      <c r="C12" s="8">
        <f>+Inversión!G12</f>
        <v>15000</v>
      </c>
      <c r="D12" s="8">
        <f t="shared" si="0"/>
        <v>15000</v>
      </c>
      <c r="E12" s="18">
        <v>0</v>
      </c>
      <c r="F12" s="8"/>
      <c r="G12" s="8"/>
      <c r="H12" s="8"/>
    </row>
    <row r="13" spans="1:8">
      <c r="A13" s="13" t="s">
        <v>172</v>
      </c>
      <c r="B13" s="8">
        <v>0</v>
      </c>
      <c r="C13" s="8">
        <f>+Inversión!G13</f>
        <v>3300</v>
      </c>
      <c r="D13" s="8">
        <f t="shared" si="0"/>
        <v>3300</v>
      </c>
      <c r="E13" s="18">
        <v>0</v>
      </c>
      <c r="F13" s="8"/>
      <c r="G13" s="8"/>
      <c r="H13" s="8"/>
    </row>
    <row r="14" spans="1:8">
      <c r="A14" s="13" t="s">
        <v>173</v>
      </c>
      <c r="B14" s="8">
        <v>0</v>
      </c>
      <c r="C14" s="8">
        <f>+Inversión!G14</f>
        <v>26000</v>
      </c>
      <c r="D14" s="8">
        <f t="shared" si="0"/>
        <v>26000</v>
      </c>
      <c r="E14" s="18">
        <v>0.33</v>
      </c>
      <c r="F14" s="8"/>
      <c r="G14" s="8"/>
      <c r="H14" s="8">
        <f>+D14*E14</f>
        <v>8580</v>
      </c>
    </row>
    <row r="15" spans="1:8">
      <c r="A15" s="13" t="s">
        <v>174</v>
      </c>
      <c r="B15" s="8">
        <v>0</v>
      </c>
      <c r="C15" s="8">
        <f>+Inversión!G15</f>
        <v>42900</v>
      </c>
      <c r="D15" s="8">
        <f t="shared" si="0"/>
        <v>42900</v>
      </c>
      <c r="E15" s="18">
        <v>0</v>
      </c>
      <c r="F15" s="8"/>
      <c r="G15" s="8"/>
      <c r="H15" s="8"/>
    </row>
    <row r="16" spans="1:8">
      <c r="A16" s="13"/>
      <c r="B16" s="8">
        <v>0</v>
      </c>
      <c r="C16" s="8">
        <v>0</v>
      </c>
      <c r="D16" s="8">
        <f t="shared" si="0"/>
        <v>0</v>
      </c>
      <c r="F16" s="8"/>
      <c r="G16" s="8"/>
      <c r="H16" s="8"/>
    </row>
    <row r="17" spans="1:8">
      <c r="A17" s="13"/>
      <c r="B17" s="8">
        <v>0</v>
      </c>
      <c r="C17" s="8">
        <v>0</v>
      </c>
      <c r="D17" s="8">
        <f t="shared" si="0"/>
        <v>0</v>
      </c>
      <c r="F17" s="8"/>
      <c r="G17" s="8" t="s">
        <v>203</v>
      </c>
      <c r="H17" s="8"/>
    </row>
    <row r="18" spans="1:8">
      <c r="A18" s="13"/>
      <c r="B18" s="8">
        <v>0</v>
      </c>
      <c r="C18" s="8">
        <v>0</v>
      </c>
      <c r="D18" s="8">
        <f t="shared" si="0"/>
        <v>0</v>
      </c>
      <c r="F18" s="8"/>
      <c r="G18" s="8"/>
      <c r="H18" s="8"/>
    </row>
    <row r="19" spans="1:8">
      <c r="A19" s="13"/>
      <c r="B19" s="8">
        <v>0</v>
      </c>
      <c r="C19" s="8">
        <v>0</v>
      </c>
      <c r="D19" s="8">
        <f t="shared" si="0"/>
        <v>0</v>
      </c>
      <c r="F19" s="8"/>
      <c r="G19" s="8"/>
      <c r="H19" s="8"/>
    </row>
    <row r="20" spans="1:8">
      <c r="A20" s="13"/>
      <c r="B20" s="8">
        <v>0</v>
      </c>
      <c r="C20" s="8">
        <v>0</v>
      </c>
      <c r="D20" s="8">
        <f t="shared" si="0"/>
        <v>0</v>
      </c>
      <c r="F20" s="8"/>
      <c r="G20" s="8"/>
      <c r="H20" s="8"/>
    </row>
    <row r="21" spans="1:8">
      <c r="A21" s="13"/>
      <c r="B21" s="8">
        <v>0</v>
      </c>
      <c r="C21" s="8">
        <v>0</v>
      </c>
      <c r="D21" s="8">
        <f t="shared" si="0"/>
        <v>0</v>
      </c>
      <c r="F21" s="8"/>
      <c r="G21" s="8"/>
      <c r="H21" s="8"/>
    </row>
    <row r="22" spans="1:8">
      <c r="A22" s="13"/>
      <c r="B22" s="8">
        <v>0</v>
      </c>
      <c r="C22" s="8">
        <v>0</v>
      </c>
      <c r="D22" s="8">
        <f t="shared" si="0"/>
        <v>0</v>
      </c>
      <c r="F22" s="8"/>
      <c r="G22" s="8"/>
      <c r="H22" s="8"/>
    </row>
    <row r="23" spans="1:8">
      <c r="A23" s="13"/>
      <c r="B23" s="8">
        <v>0</v>
      </c>
      <c r="C23" s="8">
        <v>0</v>
      </c>
      <c r="D23" s="8">
        <f t="shared" si="0"/>
        <v>0</v>
      </c>
      <c r="F23" s="8"/>
      <c r="G23" s="8"/>
      <c r="H23" s="8"/>
    </row>
    <row r="24" spans="1:8">
      <c r="A24" s="15" t="s">
        <v>12</v>
      </c>
      <c r="B24" s="19">
        <f>SUM(B5:B23)</f>
        <v>90000</v>
      </c>
      <c r="C24" s="17">
        <f>SUM(C5:C23)</f>
        <v>102700</v>
      </c>
      <c r="D24" s="17">
        <f>SUM(D5:D23)</f>
        <v>192700</v>
      </c>
      <c r="E24" s="2"/>
      <c r="F24" s="17">
        <f>SUM(F5:F23)</f>
        <v>3073.95</v>
      </c>
      <c r="G24" s="17">
        <f>SUM(G5:G23)</f>
        <v>1950</v>
      </c>
      <c r="H24" s="17">
        <f>SUM(H5:H23)</f>
        <v>23517</v>
      </c>
    </row>
  </sheetData>
  <mergeCells count="6">
    <mergeCell ref="A1:H1"/>
    <mergeCell ref="F3:F4"/>
    <mergeCell ref="G3:G4"/>
    <mergeCell ref="H3:H4"/>
    <mergeCell ref="A3:A4"/>
    <mergeCell ref="B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I9" sqref="I9"/>
    </sheetView>
  </sheetViews>
  <sheetFormatPr baseColWidth="10" defaultRowHeight="15"/>
  <cols>
    <col min="1" max="1" width="24" customWidth="1"/>
    <col min="5" max="6" width="12.7109375" customWidth="1"/>
  </cols>
  <sheetData>
    <row r="1" spans="1:6">
      <c r="A1" s="155" t="s">
        <v>93</v>
      </c>
      <c r="B1" s="156"/>
      <c r="C1" s="156"/>
      <c r="D1" s="156"/>
      <c r="E1" s="156"/>
      <c r="F1" s="157"/>
    </row>
    <row r="2" spans="1:6">
      <c r="A2" s="155" t="s">
        <v>94</v>
      </c>
      <c r="B2" s="156"/>
      <c r="C2" s="156"/>
      <c r="D2" s="156"/>
      <c r="E2" s="156"/>
      <c r="F2" s="157"/>
    </row>
    <row r="3" spans="1:6">
      <c r="A3" s="9" t="s">
        <v>220</v>
      </c>
      <c r="B3" s="152" t="s">
        <v>160</v>
      </c>
      <c r="C3" s="158"/>
      <c r="D3" s="158"/>
      <c r="E3" s="153"/>
      <c r="F3" s="26">
        <v>4</v>
      </c>
    </row>
    <row r="4" spans="1:6">
      <c r="A4" s="25" t="s">
        <v>95</v>
      </c>
      <c r="B4" s="25" t="s">
        <v>27</v>
      </c>
      <c r="C4" s="25" t="s">
        <v>1</v>
      </c>
      <c r="D4" s="25" t="s">
        <v>2</v>
      </c>
      <c r="E4" s="25" t="s">
        <v>61</v>
      </c>
      <c r="F4" s="25" t="s">
        <v>33</v>
      </c>
    </row>
    <row r="5" spans="1:6">
      <c r="A5" s="122" t="s">
        <v>221</v>
      </c>
      <c r="B5" s="115" t="s">
        <v>175</v>
      </c>
      <c r="C5" s="115">
        <v>1</v>
      </c>
      <c r="D5" s="29">
        <v>100</v>
      </c>
      <c r="E5" s="29">
        <f>+C5*D5</f>
        <v>100</v>
      </c>
      <c r="F5" s="26">
        <f>+E5/E22</f>
        <v>0.81300813008130079</v>
      </c>
    </row>
    <row r="6" spans="1:6">
      <c r="A6" s="26" t="s">
        <v>190</v>
      </c>
      <c r="B6" s="115" t="s">
        <v>222</v>
      </c>
      <c r="C6" s="115">
        <v>10</v>
      </c>
      <c r="D6" s="29">
        <v>1.7</v>
      </c>
      <c r="E6" s="29">
        <f t="shared" ref="E6:E21" si="0">+C6*D6</f>
        <v>17</v>
      </c>
      <c r="F6" s="26">
        <f>+E6/E22</f>
        <v>0.13821138211382114</v>
      </c>
    </row>
    <row r="7" spans="1:6">
      <c r="A7" s="26" t="s">
        <v>223</v>
      </c>
      <c r="B7" s="115">
        <v>1</v>
      </c>
      <c r="C7" s="115">
        <v>1</v>
      </c>
      <c r="D7" s="29">
        <v>3</v>
      </c>
      <c r="E7" s="29">
        <f t="shared" si="0"/>
        <v>3</v>
      </c>
      <c r="F7" s="26">
        <f>+E7/E22</f>
        <v>2.4390243902439025E-2</v>
      </c>
    </row>
    <row r="8" spans="1:6">
      <c r="A8" s="26" t="s">
        <v>224</v>
      </c>
      <c r="B8" s="115" t="s">
        <v>175</v>
      </c>
      <c r="C8" s="115">
        <v>3</v>
      </c>
      <c r="D8" s="29">
        <v>1</v>
      </c>
      <c r="E8" s="29">
        <f t="shared" si="0"/>
        <v>3</v>
      </c>
      <c r="F8" s="26">
        <f>+E8/E22</f>
        <v>2.4390243902439025E-2</v>
      </c>
    </row>
    <row r="9" spans="1:6">
      <c r="A9" s="26"/>
      <c r="B9" s="26"/>
      <c r="C9" s="26"/>
      <c r="D9" s="26"/>
      <c r="E9" s="26">
        <f t="shared" si="0"/>
        <v>0</v>
      </c>
      <c r="F9" s="26">
        <f>+E9/E22</f>
        <v>0</v>
      </c>
    </row>
    <row r="10" spans="1:6">
      <c r="A10" s="26"/>
      <c r="B10" s="26"/>
      <c r="C10" s="26"/>
      <c r="D10" s="26"/>
      <c r="E10" s="26">
        <f t="shared" si="0"/>
        <v>0</v>
      </c>
      <c r="F10" s="26">
        <f>+E10/E22</f>
        <v>0</v>
      </c>
    </row>
    <row r="11" spans="1:6">
      <c r="A11" s="26"/>
      <c r="B11" s="26"/>
      <c r="C11" s="26"/>
      <c r="D11" s="26"/>
      <c r="E11" s="26">
        <f t="shared" si="0"/>
        <v>0</v>
      </c>
      <c r="F11" s="26">
        <f>+E11/E22</f>
        <v>0</v>
      </c>
    </row>
    <row r="12" spans="1:6">
      <c r="A12" s="26"/>
      <c r="B12" s="26"/>
      <c r="C12" s="26"/>
      <c r="D12" s="26"/>
      <c r="E12" s="26">
        <f t="shared" si="0"/>
        <v>0</v>
      </c>
      <c r="F12" s="26">
        <f>+E12/E22</f>
        <v>0</v>
      </c>
    </row>
    <row r="13" spans="1:6">
      <c r="A13" s="26"/>
      <c r="B13" s="26"/>
      <c r="C13" s="26"/>
      <c r="D13" s="26"/>
      <c r="E13" s="26">
        <f t="shared" si="0"/>
        <v>0</v>
      </c>
      <c r="F13" s="26">
        <f>+E13/E22</f>
        <v>0</v>
      </c>
    </row>
    <row r="14" spans="1:6">
      <c r="A14" s="26"/>
      <c r="B14" s="26"/>
      <c r="C14" s="26"/>
      <c r="D14" s="26"/>
      <c r="E14" s="26">
        <f t="shared" si="0"/>
        <v>0</v>
      </c>
      <c r="F14" s="26">
        <f>+E14/E22</f>
        <v>0</v>
      </c>
    </row>
    <row r="15" spans="1:6">
      <c r="A15" s="26"/>
      <c r="B15" s="26"/>
      <c r="C15" s="26"/>
      <c r="D15" s="26"/>
      <c r="E15" s="26">
        <f t="shared" si="0"/>
        <v>0</v>
      </c>
      <c r="F15" s="26">
        <f>+E15/E22</f>
        <v>0</v>
      </c>
    </row>
    <row r="16" spans="1:6">
      <c r="A16" s="26"/>
      <c r="B16" s="26"/>
      <c r="C16" s="26"/>
      <c r="D16" s="26"/>
      <c r="E16" s="26">
        <f t="shared" si="0"/>
        <v>0</v>
      </c>
      <c r="F16" s="26">
        <f>+E16/E22</f>
        <v>0</v>
      </c>
    </row>
    <row r="17" spans="1:6">
      <c r="A17" s="26"/>
      <c r="B17" s="26"/>
      <c r="C17" s="26"/>
      <c r="D17" s="26"/>
      <c r="E17" s="26">
        <f t="shared" si="0"/>
        <v>0</v>
      </c>
      <c r="F17" s="26">
        <f>+E17/E22</f>
        <v>0</v>
      </c>
    </row>
    <row r="18" spans="1:6">
      <c r="A18" s="26"/>
      <c r="B18" s="26"/>
      <c r="C18" s="26"/>
      <c r="D18" s="26"/>
      <c r="E18" s="26">
        <f t="shared" si="0"/>
        <v>0</v>
      </c>
      <c r="F18" s="26">
        <f>+E18/E22</f>
        <v>0</v>
      </c>
    </row>
    <row r="19" spans="1:6">
      <c r="A19" s="26"/>
      <c r="B19" s="26"/>
      <c r="C19" s="26"/>
      <c r="D19" s="26"/>
      <c r="E19" s="26">
        <f t="shared" si="0"/>
        <v>0</v>
      </c>
      <c r="F19" s="26">
        <f>+E19/E22</f>
        <v>0</v>
      </c>
    </row>
    <row r="20" spans="1:6">
      <c r="A20" s="26"/>
      <c r="B20" s="26"/>
      <c r="C20" s="26"/>
      <c r="D20" s="26"/>
      <c r="E20" s="26">
        <f t="shared" si="0"/>
        <v>0</v>
      </c>
      <c r="F20" s="26">
        <f>+E20/E22</f>
        <v>0</v>
      </c>
    </row>
    <row r="21" spans="1:6">
      <c r="A21" s="26"/>
      <c r="B21" s="26"/>
      <c r="C21" s="26"/>
      <c r="D21" s="26"/>
      <c r="E21" s="26">
        <f t="shared" si="0"/>
        <v>0</v>
      </c>
      <c r="F21" s="26">
        <f>+E21/E22</f>
        <v>0</v>
      </c>
    </row>
    <row r="22" spans="1:6">
      <c r="A22" s="38" t="s">
        <v>12</v>
      </c>
      <c r="B22" s="6"/>
      <c r="C22" s="6"/>
      <c r="D22" s="6"/>
      <c r="E22" s="29">
        <f>SUM(E5:E21)</f>
        <v>123</v>
      </c>
      <c r="F22" s="26">
        <f>SUM(F5:F21)</f>
        <v>1</v>
      </c>
    </row>
    <row r="24" spans="1:6">
      <c r="A24" s="39" t="s">
        <v>96</v>
      </c>
      <c r="B24" s="39"/>
      <c r="C24" s="39"/>
      <c r="D24" s="39"/>
      <c r="E24" s="39"/>
      <c r="F24" s="39"/>
    </row>
    <row r="25" spans="1:6">
      <c r="A25" s="154" t="s">
        <v>97</v>
      </c>
      <c r="B25" s="154"/>
      <c r="C25" s="154"/>
      <c r="D25" s="154"/>
      <c r="E25" s="154"/>
      <c r="F25" s="154"/>
    </row>
    <row r="26" spans="1:6">
      <c r="A26" s="154" t="s">
        <v>98</v>
      </c>
      <c r="B26" s="154"/>
      <c r="C26" s="154"/>
      <c r="D26" s="154"/>
      <c r="E26" s="154"/>
      <c r="F26" s="154"/>
    </row>
  </sheetData>
  <mergeCells count="5">
    <mergeCell ref="A25:F25"/>
    <mergeCell ref="A26:F26"/>
    <mergeCell ref="A1:F1"/>
    <mergeCell ref="A2:F2"/>
    <mergeCell ref="B3:E3"/>
  </mergeCells>
  <printOptions horizontalCentered="1"/>
  <pageMargins left="0.70866141732283472" right="0.70866141732283472" top="1.1417322834645669" bottom="0.74803149606299213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0" zoomScaleNormal="80" workbookViewId="0">
      <selection activeCell="G12" sqref="G12"/>
    </sheetView>
  </sheetViews>
  <sheetFormatPr baseColWidth="10" defaultRowHeight="15"/>
  <cols>
    <col min="1" max="1" width="3.140625" bestFit="1" customWidth="1"/>
    <col min="2" max="2" width="17.85546875" customWidth="1"/>
    <col min="3" max="3" width="5.5703125" bestFit="1" customWidth="1"/>
    <col min="4" max="4" width="8.140625" bestFit="1" customWidth="1"/>
    <col min="5" max="5" width="10.5703125" bestFit="1" customWidth="1"/>
    <col min="6" max="6" width="5.5703125" bestFit="1" customWidth="1"/>
    <col min="7" max="7" width="8.140625" bestFit="1" customWidth="1"/>
    <col min="8" max="8" width="10.42578125" customWidth="1"/>
    <col min="9" max="9" width="5.5703125" bestFit="1" customWidth="1"/>
    <col min="10" max="10" width="8.140625" bestFit="1" customWidth="1"/>
    <col min="11" max="11" width="10.5703125" bestFit="1" customWidth="1"/>
    <col min="12" max="12" width="5.5703125" bestFit="1" customWidth="1"/>
    <col min="13" max="13" width="8.140625" bestFit="1" customWidth="1"/>
    <col min="14" max="14" width="10.5703125" bestFit="1" customWidth="1"/>
    <col min="15" max="15" width="5.5703125" bestFit="1" customWidth="1"/>
    <col min="16" max="16" width="8.140625" bestFit="1" customWidth="1"/>
    <col min="17" max="17" width="10.5703125" bestFit="1" customWidth="1"/>
    <col min="18" max="18" width="5.5703125" bestFit="1" customWidth="1"/>
    <col min="19" max="19" width="8.140625" bestFit="1" customWidth="1"/>
    <col min="20" max="20" width="10.5703125" bestFit="1" customWidth="1"/>
    <col min="21" max="21" width="5.5703125" bestFit="1" customWidth="1"/>
    <col min="22" max="22" width="8.140625" bestFit="1" customWidth="1"/>
    <col min="23" max="23" width="10.5703125" bestFit="1" customWidth="1"/>
    <col min="24" max="24" width="5.5703125" bestFit="1" customWidth="1"/>
    <col min="25" max="25" width="8.140625" bestFit="1" customWidth="1"/>
    <col min="26" max="26" width="10.5703125" bestFit="1" customWidth="1"/>
    <col min="27" max="27" width="5.5703125" bestFit="1" customWidth="1"/>
    <col min="28" max="28" width="8.140625" bestFit="1" customWidth="1"/>
    <col min="29" max="29" width="10.5703125" bestFit="1" customWidth="1"/>
    <col min="30" max="30" width="5.5703125" bestFit="1" customWidth="1"/>
    <col min="31" max="31" width="8.140625" bestFit="1" customWidth="1"/>
    <col min="32" max="32" width="10.5703125" bestFit="1" customWidth="1"/>
    <col min="33" max="33" width="5.5703125" bestFit="1" customWidth="1"/>
    <col min="34" max="34" width="8.140625" bestFit="1" customWidth="1"/>
    <col min="35" max="35" width="10.5703125" bestFit="1" customWidth="1"/>
    <col min="36" max="36" width="5.5703125" bestFit="1" customWidth="1"/>
    <col min="37" max="37" width="8.140625" bestFit="1" customWidth="1"/>
    <col min="38" max="38" width="10.5703125" bestFit="1" customWidth="1"/>
  </cols>
  <sheetData>
    <row r="1" spans="1:20">
      <c r="A1" s="197" t="s">
        <v>90</v>
      </c>
      <c r="B1" s="198"/>
      <c r="C1" s="198"/>
      <c r="D1" s="198"/>
      <c r="E1" s="198"/>
      <c r="F1" s="198"/>
      <c r="G1" s="198"/>
      <c r="H1" s="198"/>
      <c r="I1" s="198"/>
      <c r="J1" s="198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>
      <c r="A2" s="197" t="s">
        <v>91</v>
      </c>
      <c r="B2" s="198"/>
      <c r="C2" s="198"/>
      <c r="D2" s="198"/>
      <c r="E2" s="198"/>
      <c r="F2" s="198"/>
      <c r="G2" s="198"/>
      <c r="H2" s="198"/>
      <c r="I2" s="198"/>
      <c r="J2" s="198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>
      <c r="A3" s="113">
        <v>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>
      <c r="A4" s="160" t="s">
        <v>5</v>
      </c>
      <c r="B4" s="161" t="s">
        <v>89</v>
      </c>
      <c r="C4" s="159" t="s">
        <v>0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1:20">
      <c r="A5" s="160"/>
      <c r="B5" s="162"/>
      <c r="C5" s="159" t="s">
        <v>73</v>
      </c>
      <c r="D5" s="159"/>
      <c r="E5" s="159"/>
      <c r="F5" s="159" t="s">
        <v>74</v>
      </c>
      <c r="G5" s="159"/>
      <c r="H5" s="159"/>
      <c r="I5" s="159" t="s">
        <v>75</v>
      </c>
      <c r="J5" s="159"/>
      <c r="K5" s="159"/>
      <c r="L5" s="159" t="s">
        <v>76</v>
      </c>
      <c r="M5" s="159"/>
      <c r="N5" s="159"/>
      <c r="O5" s="159" t="s">
        <v>77</v>
      </c>
      <c r="P5" s="159"/>
      <c r="Q5" s="159"/>
      <c r="R5" s="159" t="s">
        <v>78</v>
      </c>
      <c r="S5" s="159"/>
      <c r="T5" s="159"/>
    </row>
    <row r="6" spans="1:20">
      <c r="A6" s="160"/>
      <c r="B6" s="163"/>
      <c r="C6" s="40" t="s">
        <v>4</v>
      </c>
      <c r="D6" s="40" t="s">
        <v>7</v>
      </c>
      <c r="E6" s="40" t="s">
        <v>3</v>
      </c>
      <c r="F6" s="40" t="s">
        <v>4</v>
      </c>
      <c r="G6" s="40" t="s">
        <v>7</v>
      </c>
      <c r="H6" s="40" t="s">
        <v>3</v>
      </c>
      <c r="I6" s="40" t="s">
        <v>4</v>
      </c>
      <c r="J6" s="40" t="s">
        <v>7</v>
      </c>
      <c r="K6" s="40" t="s">
        <v>3</v>
      </c>
      <c r="L6" s="40" t="s">
        <v>4</v>
      </c>
      <c r="M6" s="40" t="s">
        <v>7</v>
      </c>
      <c r="N6" s="40" t="s">
        <v>3</v>
      </c>
      <c r="O6" s="40" t="s">
        <v>4</v>
      </c>
      <c r="P6" s="40" t="s">
        <v>7</v>
      </c>
      <c r="Q6" s="40" t="s">
        <v>3</v>
      </c>
      <c r="R6" s="40" t="s">
        <v>4</v>
      </c>
      <c r="S6" s="40" t="s">
        <v>7</v>
      </c>
      <c r="T6" s="40" t="s">
        <v>3</v>
      </c>
    </row>
    <row r="7" spans="1:20">
      <c r="A7" s="41">
        <v>1</v>
      </c>
      <c r="B7" s="47" t="s">
        <v>176</v>
      </c>
      <c r="C7" s="47">
        <v>165</v>
      </c>
      <c r="D7" s="47">
        <v>50</v>
      </c>
      <c r="E7" s="47">
        <f>+C7*D7</f>
        <v>8250</v>
      </c>
      <c r="F7" s="47">
        <v>165</v>
      </c>
      <c r="G7" s="47">
        <v>50</v>
      </c>
      <c r="H7" s="47">
        <f>+F7*G7</f>
        <v>8250</v>
      </c>
      <c r="I7" s="47">
        <v>154</v>
      </c>
      <c r="J7" s="47">
        <v>50</v>
      </c>
      <c r="K7" s="47">
        <f>+I7*J7</f>
        <v>7700</v>
      </c>
      <c r="L7" s="47">
        <v>165</v>
      </c>
      <c r="M7" s="47">
        <v>50</v>
      </c>
      <c r="N7" s="47">
        <f>+L7*M7</f>
        <v>8250</v>
      </c>
      <c r="O7" s="47">
        <v>143</v>
      </c>
      <c r="P7" s="47">
        <v>50</v>
      </c>
      <c r="Q7" s="47">
        <f>+O7*P7</f>
        <v>7150</v>
      </c>
      <c r="R7" s="47">
        <v>165</v>
      </c>
      <c r="S7" s="47">
        <v>50</v>
      </c>
      <c r="T7" s="47">
        <f>+R7*S7</f>
        <v>8250</v>
      </c>
    </row>
    <row r="8" spans="1:20">
      <c r="A8" s="41">
        <v>2</v>
      </c>
      <c r="B8" s="47" t="s">
        <v>177</v>
      </c>
      <c r="C8" s="47">
        <v>33</v>
      </c>
      <c r="D8" s="47">
        <v>11</v>
      </c>
      <c r="E8" s="47">
        <f t="shared" ref="E8:E17" si="0">+C8*D8</f>
        <v>363</v>
      </c>
      <c r="F8" s="47">
        <v>33</v>
      </c>
      <c r="G8" s="47">
        <v>11</v>
      </c>
      <c r="H8" s="47">
        <f t="shared" ref="H8:H17" si="1">+F8*G8</f>
        <v>363</v>
      </c>
      <c r="I8" s="47">
        <v>28</v>
      </c>
      <c r="J8" s="47">
        <v>11</v>
      </c>
      <c r="K8" s="47">
        <f t="shared" ref="K8:K17" si="2">+I8*J8</f>
        <v>308</v>
      </c>
      <c r="L8" s="47">
        <v>33</v>
      </c>
      <c r="M8" s="47">
        <v>11</v>
      </c>
      <c r="N8" s="47">
        <f t="shared" ref="N8:N17" si="3">+L8*M8</f>
        <v>363</v>
      </c>
      <c r="O8" s="47">
        <v>33</v>
      </c>
      <c r="P8" s="47">
        <v>11</v>
      </c>
      <c r="Q8" s="47">
        <f t="shared" ref="Q8:Q17" si="4">+O8*P8</f>
        <v>363</v>
      </c>
      <c r="R8" s="47">
        <v>33</v>
      </c>
      <c r="S8" s="47">
        <v>11</v>
      </c>
      <c r="T8" s="47">
        <f t="shared" ref="T8:T17" si="5">+R8*S8</f>
        <v>363</v>
      </c>
    </row>
    <row r="9" spans="1:20">
      <c r="A9" s="41">
        <v>3</v>
      </c>
      <c r="B9" s="47" t="s">
        <v>178</v>
      </c>
      <c r="C9" s="47">
        <v>33</v>
      </c>
      <c r="D9" s="47">
        <v>30</v>
      </c>
      <c r="E9" s="47">
        <f t="shared" si="0"/>
        <v>990</v>
      </c>
      <c r="F9" s="47">
        <v>33</v>
      </c>
      <c r="G9" s="47">
        <v>30</v>
      </c>
      <c r="H9" s="47">
        <f t="shared" si="1"/>
        <v>990</v>
      </c>
      <c r="I9" s="47">
        <v>28</v>
      </c>
      <c r="J9" s="47">
        <v>30</v>
      </c>
      <c r="K9" s="47">
        <f t="shared" si="2"/>
        <v>840</v>
      </c>
      <c r="L9" s="47">
        <v>33</v>
      </c>
      <c r="M9" s="47">
        <v>30</v>
      </c>
      <c r="N9" s="47">
        <f t="shared" si="3"/>
        <v>990</v>
      </c>
      <c r="O9" s="47">
        <v>44</v>
      </c>
      <c r="P9" s="47">
        <v>30</v>
      </c>
      <c r="Q9" s="47">
        <f t="shared" si="4"/>
        <v>1320</v>
      </c>
      <c r="R9" s="47">
        <v>33</v>
      </c>
      <c r="S9" s="47">
        <v>30</v>
      </c>
      <c r="T9" s="47">
        <f t="shared" si="5"/>
        <v>990</v>
      </c>
    </row>
    <row r="10" spans="1:20">
      <c r="A10" s="41">
        <v>4</v>
      </c>
      <c r="B10" s="47" t="s">
        <v>179</v>
      </c>
      <c r="C10" s="47">
        <v>4</v>
      </c>
      <c r="D10" s="47">
        <v>40</v>
      </c>
      <c r="E10" s="47">
        <f t="shared" si="0"/>
        <v>160</v>
      </c>
      <c r="F10" s="47">
        <v>4</v>
      </c>
      <c r="G10" s="47">
        <v>40</v>
      </c>
      <c r="H10" s="47">
        <f t="shared" si="1"/>
        <v>160</v>
      </c>
      <c r="I10" s="47">
        <v>4</v>
      </c>
      <c r="J10" s="47">
        <v>40</v>
      </c>
      <c r="K10" s="47">
        <f t="shared" si="2"/>
        <v>160</v>
      </c>
      <c r="L10" s="47">
        <v>4</v>
      </c>
      <c r="M10" s="47">
        <v>40</v>
      </c>
      <c r="N10" s="47">
        <f t="shared" si="3"/>
        <v>160</v>
      </c>
      <c r="O10" s="47">
        <v>17</v>
      </c>
      <c r="P10" s="47">
        <v>40</v>
      </c>
      <c r="Q10" s="47">
        <f t="shared" si="4"/>
        <v>680</v>
      </c>
      <c r="R10" s="47">
        <v>4</v>
      </c>
      <c r="S10" s="47">
        <v>40</v>
      </c>
      <c r="T10" s="47">
        <f t="shared" si="5"/>
        <v>160</v>
      </c>
    </row>
    <row r="11" spans="1:20">
      <c r="A11" s="41">
        <v>5</v>
      </c>
      <c r="B11" s="47" t="s">
        <v>180</v>
      </c>
      <c r="C11" s="47">
        <v>9</v>
      </c>
      <c r="D11" s="47">
        <v>20</v>
      </c>
      <c r="E11" s="47">
        <f t="shared" si="0"/>
        <v>180</v>
      </c>
      <c r="F11" s="47">
        <v>9</v>
      </c>
      <c r="G11" s="47">
        <v>20</v>
      </c>
      <c r="H11" s="47">
        <f t="shared" si="1"/>
        <v>180</v>
      </c>
      <c r="I11" s="47">
        <v>7</v>
      </c>
      <c r="J11" s="47">
        <v>20</v>
      </c>
      <c r="K11" s="47">
        <f t="shared" si="2"/>
        <v>140</v>
      </c>
      <c r="L11" s="47">
        <v>9</v>
      </c>
      <c r="M11" s="47">
        <v>20</v>
      </c>
      <c r="N11" s="47">
        <f t="shared" si="3"/>
        <v>180</v>
      </c>
      <c r="O11" s="47">
        <v>22</v>
      </c>
      <c r="P11" s="47">
        <v>20</v>
      </c>
      <c r="Q11" s="47">
        <f t="shared" si="4"/>
        <v>440</v>
      </c>
      <c r="R11" s="47">
        <v>9</v>
      </c>
      <c r="S11" s="47">
        <v>20</v>
      </c>
      <c r="T11" s="47">
        <f t="shared" si="5"/>
        <v>180</v>
      </c>
    </row>
    <row r="12" spans="1:20">
      <c r="A12" s="41">
        <v>6</v>
      </c>
      <c r="B12" s="47" t="s">
        <v>181</v>
      </c>
      <c r="C12" s="47">
        <v>9</v>
      </c>
      <c r="D12" s="47">
        <v>25</v>
      </c>
      <c r="E12" s="47">
        <f t="shared" si="0"/>
        <v>225</v>
      </c>
      <c r="F12" s="47">
        <v>9</v>
      </c>
      <c r="G12" s="47">
        <v>25</v>
      </c>
      <c r="H12" s="47">
        <f t="shared" si="1"/>
        <v>225</v>
      </c>
      <c r="I12" s="47">
        <v>9</v>
      </c>
      <c r="J12" s="47">
        <v>25</v>
      </c>
      <c r="K12" s="47">
        <f t="shared" si="2"/>
        <v>225</v>
      </c>
      <c r="L12" s="47">
        <v>9</v>
      </c>
      <c r="M12" s="47">
        <v>25</v>
      </c>
      <c r="N12" s="47">
        <f t="shared" si="3"/>
        <v>225</v>
      </c>
      <c r="O12" s="47">
        <v>9</v>
      </c>
      <c r="P12" s="47">
        <v>25</v>
      </c>
      <c r="Q12" s="47">
        <f t="shared" si="4"/>
        <v>225</v>
      </c>
      <c r="R12" s="47">
        <v>9</v>
      </c>
      <c r="S12" s="47">
        <v>25</v>
      </c>
      <c r="T12" s="47">
        <f t="shared" si="5"/>
        <v>225</v>
      </c>
    </row>
    <row r="13" spans="1:20">
      <c r="A13" s="41">
        <v>7</v>
      </c>
      <c r="B13" s="47" t="s">
        <v>182</v>
      </c>
      <c r="C13" s="47">
        <v>4</v>
      </c>
      <c r="D13" s="47">
        <v>50</v>
      </c>
      <c r="E13" s="47">
        <f t="shared" si="0"/>
        <v>200</v>
      </c>
      <c r="F13" s="47">
        <v>4</v>
      </c>
      <c r="G13" s="47">
        <v>50</v>
      </c>
      <c r="H13" s="47">
        <f t="shared" si="1"/>
        <v>200</v>
      </c>
      <c r="I13" s="47">
        <v>3</v>
      </c>
      <c r="J13" s="47">
        <v>50</v>
      </c>
      <c r="K13" s="47">
        <f t="shared" si="2"/>
        <v>150</v>
      </c>
      <c r="L13" s="47">
        <v>4</v>
      </c>
      <c r="M13" s="47">
        <v>50</v>
      </c>
      <c r="N13" s="47">
        <f t="shared" si="3"/>
        <v>200</v>
      </c>
      <c r="O13" s="47">
        <v>4</v>
      </c>
      <c r="P13" s="47">
        <v>50</v>
      </c>
      <c r="Q13" s="47">
        <f t="shared" si="4"/>
        <v>200</v>
      </c>
      <c r="R13" s="47">
        <v>4</v>
      </c>
      <c r="S13" s="47">
        <v>50</v>
      </c>
      <c r="T13" s="47">
        <f t="shared" si="5"/>
        <v>200</v>
      </c>
    </row>
    <row r="14" spans="1:20">
      <c r="A14" s="41">
        <v>8</v>
      </c>
      <c r="B14" s="47" t="s">
        <v>183</v>
      </c>
      <c r="C14" s="47">
        <v>17</v>
      </c>
      <c r="D14" s="47">
        <v>20</v>
      </c>
      <c r="E14" s="47">
        <f t="shared" si="0"/>
        <v>340</v>
      </c>
      <c r="F14" s="47">
        <v>17</v>
      </c>
      <c r="G14" s="47">
        <v>20</v>
      </c>
      <c r="H14" s="47">
        <f t="shared" si="1"/>
        <v>340</v>
      </c>
      <c r="I14" s="47">
        <v>22</v>
      </c>
      <c r="J14" s="47">
        <v>20</v>
      </c>
      <c r="K14" s="47">
        <f t="shared" si="2"/>
        <v>440</v>
      </c>
      <c r="L14" s="47">
        <v>17</v>
      </c>
      <c r="M14" s="47">
        <v>20</v>
      </c>
      <c r="N14" s="47">
        <f t="shared" si="3"/>
        <v>340</v>
      </c>
      <c r="O14" s="47">
        <v>17</v>
      </c>
      <c r="P14" s="47">
        <v>20</v>
      </c>
      <c r="Q14" s="47">
        <f t="shared" si="4"/>
        <v>340</v>
      </c>
      <c r="R14" s="47">
        <v>17</v>
      </c>
      <c r="S14" s="47">
        <v>20</v>
      </c>
      <c r="T14" s="47">
        <f t="shared" si="5"/>
        <v>340</v>
      </c>
    </row>
    <row r="15" spans="1:20">
      <c r="A15" s="41">
        <v>9</v>
      </c>
      <c r="B15" s="47" t="s">
        <v>184</v>
      </c>
      <c r="C15" s="47">
        <v>6</v>
      </c>
      <c r="D15" s="47">
        <v>25</v>
      </c>
      <c r="E15" s="47">
        <f t="shared" si="0"/>
        <v>150</v>
      </c>
      <c r="F15" s="47">
        <v>6</v>
      </c>
      <c r="G15" s="47">
        <v>25</v>
      </c>
      <c r="H15" s="47">
        <f t="shared" si="1"/>
        <v>150</v>
      </c>
      <c r="I15" s="47">
        <v>8</v>
      </c>
      <c r="J15" s="47">
        <v>25</v>
      </c>
      <c r="K15" s="47">
        <f t="shared" si="2"/>
        <v>200</v>
      </c>
      <c r="L15" s="47">
        <v>6</v>
      </c>
      <c r="M15" s="47">
        <v>25</v>
      </c>
      <c r="N15" s="47">
        <f t="shared" si="3"/>
        <v>150</v>
      </c>
      <c r="O15" s="47">
        <v>6</v>
      </c>
      <c r="P15" s="47">
        <v>25</v>
      </c>
      <c r="Q15" s="47">
        <f t="shared" si="4"/>
        <v>150</v>
      </c>
      <c r="R15" s="47">
        <v>6</v>
      </c>
      <c r="S15" s="47">
        <v>25</v>
      </c>
      <c r="T15" s="47">
        <f t="shared" si="5"/>
        <v>150</v>
      </c>
    </row>
    <row r="16" spans="1:20">
      <c r="A16" s="41">
        <v>10</v>
      </c>
      <c r="B16" s="47" t="s">
        <v>185</v>
      </c>
      <c r="C16" s="47">
        <v>11</v>
      </c>
      <c r="D16" s="47">
        <v>180</v>
      </c>
      <c r="E16" s="47">
        <f t="shared" si="0"/>
        <v>1980</v>
      </c>
      <c r="F16" s="47">
        <v>11</v>
      </c>
      <c r="G16" s="47">
        <v>180</v>
      </c>
      <c r="H16" s="47">
        <f t="shared" si="1"/>
        <v>1980</v>
      </c>
      <c r="I16" s="47">
        <v>11</v>
      </c>
      <c r="J16" s="47">
        <v>180</v>
      </c>
      <c r="K16" s="47">
        <f t="shared" si="2"/>
        <v>1980</v>
      </c>
      <c r="L16" s="47">
        <v>11</v>
      </c>
      <c r="M16" s="47">
        <v>180</v>
      </c>
      <c r="N16" s="47">
        <f t="shared" si="3"/>
        <v>1980</v>
      </c>
      <c r="O16" s="47">
        <v>11</v>
      </c>
      <c r="P16" s="47">
        <v>180</v>
      </c>
      <c r="Q16" s="47">
        <f t="shared" si="4"/>
        <v>1980</v>
      </c>
      <c r="R16" s="47">
        <v>11</v>
      </c>
      <c r="S16" s="47">
        <v>180</v>
      </c>
      <c r="T16" s="47">
        <f t="shared" si="5"/>
        <v>1980</v>
      </c>
    </row>
    <row r="17" spans="1:20">
      <c r="A17" s="41">
        <v>11</v>
      </c>
      <c r="B17" s="47" t="s">
        <v>160</v>
      </c>
      <c r="C17" s="47">
        <v>220</v>
      </c>
      <c r="D17" s="47">
        <v>123</v>
      </c>
      <c r="E17" s="47">
        <f t="shared" si="0"/>
        <v>27060</v>
      </c>
      <c r="F17" s="47">
        <v>220</v>
      </c>
      <c r="G17" s="47">
        <v>123</v>
      </c>
      <c r="H17" s="47">
        <f t="shared" si="1"/>
        <v>27060</v>
      </c>
      <c r="I17" s="47">
        <v>220</v>
      </c>
      <c r="J17" s="47">
        <v>123</v>
      </c>
      <c r="K17" s="47">
        <f t="shared" si="2"/>
        <v>27060</v>
      </c>
      <c r="L17" s="47">
        <v>220</v>
      </c>
      <c r="M17" s="47">
        <v>123</v>
      </c>
      <c r="N17" s="47">
        <f t="shared" si="3"/>
        <v>27060</v>
      </c>
      <c r="O17" s="47">
        <v>220</v>
      </c>
      <c r="P17" s="47">
        <v>123</v>
      </c>
      <c r="Q17" s="47">
        <f t="shared" si="4"/>
        <v>27060</v>
      </c>
      <c r="R17" s="47">
        <v>220</v>
      </c>
      <c r="S17" s="47">
        <v>123</v>
      </c>
      <c r="T17" s="47">
        <f t="shared" si="5"/>
        <v>27060</v>
      </c>
    </row>
    <row r="18" spans="1:20">
      <c r="A18" s="41">
        <v>12</v>
      </c>
      <c r="B18" s="47"/>
      <c r="C18" s="47"/>
      <c r="D18" s="47"/>
      <c r="E18" s="47">
        <f>+C18*D18</f>
        <v>0</v>
      </c>
      <c r="F18" s="47"/>
      <c r="G18" s="47"/>
      <c r="H18" s="47">
        <f>+F18*G18</f>
        <v>0</v>
      </c>
      <c r="I18" s="47"/>
      <c r="J18" s="47"/>
      <c r="K18" s="47">
        <f>+I18*J18</f>
        <v>0</v>
      </c>
      <c r="L18" s="47"/>
      <c r="M18" s="47"/>
      <c r="N18" s="47">
        <f>+L18*M18</f>
        <v>0</v>
      </c>
      <c r="O18" s="47"/>
      <c r="P18" s="47"/>
      <c r="Q18" s="47">
        <f>+O18*P18</f>
        <v>0</v>
      </c>
      <c r="R18" s="47"/>
      <c r="S18" s="47"/>
      <c r="T18" s="47">
        <f>+R18*S18</f>
        <v>0</v>
      </c>
    </row>
    <row r="19" spans="1:20">
      <c r="A19" s="41">
        <v>13</v>
      </c>
      <c r="B19" s="47"/>
      <c r="C19" s="47"/>
      <c r="D19" s="47"/>
      <c r="E19" s="47">
        <f>+C19*D19</f>
        <v>0</v>
      </c>
      <c r="F19" s="47"/>
      <c r="G19" s="47"/>
      <c r="H19" s="47">
        <f>+F19*G19</f>
        <v>0</v>
      </c>
      <c r="I19" s="47"/>
      <c r="J19" s="47"/>
      <c r="K19" s="47">
        <f>+I19*J19</f>
        <v>0</v>
      </c>
      <c r="L19" s="47"/>
      <c r="M19" s="47"/>
      <c r="N19" s="47">
        <f>+L19*M19</f>
        <v>0</v>
      </c>
      <c r="O19" s="47"/>
      <c r="P19" s="47"/>
      <c r="Q19" s="47">
        <f>+O19*P19</f>
        <v>0</v>
      </c>
      <c r="R19" s="47"/>
      <c r="S19" s="47"/>
      <c r="T19" s="47">
        <f>+R19*S19</f>
        <v>0</v>
      </c>
    </row>
    <row r="20" spans="1:20">
      <c r="A20" s="41">
        <v>14</v>
      </c>
      <c r="B20" s="47"/>
      <c r="C20" s="47"/>
      <c r="D20" s="47"/>
      <c r="E20" s="47">
        <f>+C20*D20</f>
        <v>0</v>
      </c>
      <c r="F20" s="47"/>
      <c r="G20" s="47"/>
      <c r="H20" s="47">
        <f>+F20*G20</f>
        <v>0</v>
      </c>
      <c r="I20" s="47"/>
      <c r="J20" s="47"/>
      <c r="K20" s="47">
        <f>+I20*J20</f>
        <v>0</v>
      </c>
      <c r="L20" s="47"/>
      <c r="M20" s="47"/>
      <c r="N20" s="47">
        <f>+L20*M20</f>
        <v>0</v>
      </c>
      <c r="O20" s="47"/>
      <c r="P20" s="47"/>
      <c r="Q20" s="47">
        <f>+O20*P20</f>
        <v>0</v>
      </c>
      <c r="R20" s="47"/>
      <c r="S20" s="47"/>
      <c r="T20" s="47">
        <f>+R20*S20</f>
        <v>0</v>
      </c>
    </row>
    <row r="21" spans="1:20">
      <c r="A21" s="41">
        <v>15</v>
      </c>
      <c r="B21" s="47"/>
      <c r="C21" s="47"/>
      <c r="D21" s="47"/>
      <c r="E21" s="47">
        <f>+C21*D21</f>
        <v>0</v>
      </c>
      <c r="F21" s="47"/>
      <c r="G21" s="47"/>
      <c r="H21" s="47">
        <f>+F21*G21</f>
        <v>0</v>
      </c>
      <c r="I21" s="47"/>
      <c r="J21" s="47"/>
      <c r="K21" s="47">
        <f>+I21*J21</f>
        <v>0</v>
      </c>
      <c r="L21" s="47"/>
      <c r="M21" s="47"/>
      <c r="N21" s="47">
        <f>+L21*M21</f>
        <v>0</v>
      </c>
      <c r="O21" s="47"/>
      <c r="P21" s="47"/>
      <c r="Q21" s="47">
        <f>+O21*P21</f>
        <v>0</v>
      </c>
      <c r="R21" s="47"/>
      <c r="S21" s="47"/>
      <c r="T21" s="47">
        <f>+R21*S21</f>
        <v>0</v>
      </c>
    </row>
    <row r="22" spans="1:20">
      <c r="A22" s="169" t="s">
        <v>6</v>
      </c>
      <c r="B22" s="169"/>
      <c r="C22" s="46"/>
      <c r="D22" s="46"/>
      <c r="E22" s="47">
        <f>SUM(E7:E21)</f>
        <v>39898</v>
      </c>
      <c r="F22" s="46"/>
      <c r="G22" s="46"/>
      <c r="H22" s="47">
        <f>SUM(H7:H21)</f>
        <v>39898</v>
      </c>
      <c r="I22" s="46"/>
      <c r="J22" s="46"/>
      <c r="K22" s="47">
        <f>SUM(K7:K21)</f>
        <v>39203</v>
      </c>
      <c r="L22" s="46"/>
      <c r="M22" s="46"/>
      <c r="N22" s="47">
        <f>SUM(N7:N21)</f>
        <v>39898</v>
      </c>
      <c r="O22" s="46"/>
      <c r="P22" s="46"/>
      <c r="Q22" s="47">
        <f>SUM(Q7:Q21)</f>
        <v>39908</v>
      </c>
      <c r="R22" s="46"/>
      <c r="S22" s="46"/>
      <c r="T22" s="47">
        <f>SUM(T7:T21)</f>
        <v>39898</v>
      </c>
    </row>
    <row r="23" spans="1:20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</row>
    <row r="25" spans="1:20">
      <c r="A25" s="160" t="s">
        <v>5</v>
      </c>
      <c r="B25" s="161" t="s">
        <v>89</v>
      </c>
      <c r="C25" s="159" t="s">
        <v>0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</row>
    <row r="26" spans="1:20">
      <c r="A26" s="160"/>
      <c r="B26" s="162"/>
      <c r="C26" s="159" t="s">
        <v>79</v>
      </c>
      <c r="D26" s="159"/>
      <c r="E26" s="159"/>
      <c r="F26" s="159" t="s">
        <v>80</v>
      </c>
      <c r="G26" s="159"/>
      <c r="H26" s="159"/>
      <c r="I26" s="159" t="s">
        <v>81</v>
      </c>
      <c r="J26" s="159"/>
      <c r="K26" s="159"/>
      <c r="L26" s="159" t="s">
        <v>82</v>
      </c>
      <c r="M26" s="159"/>
      <c r="N26" s="159"/>
      <c r="O26" s="159" t="s">
        <v>83</v>
      </c>
      <c r="P26" s="159"/>
      <c r="Q26" s="159"/>
      <c r="R26" s="159" t="s">
        <v>84</v>
      </c>
      <c r="S26" s="159"/>
      <c r="T26" s="159"/>
    </row>
    <row r="27" spans="1:20">
      <c r="A27" s="160"/>
      <c r="B27" s="163"/>
      <c r="C27" s="40" t="s">
        <v>4</v>
      </c>
      <c r="D27" s="40" t="s">
        <v>7</v>
      </c>
      <c r="E27" s="40" t="s">
        <v>3</v>
      </c>
      <c r="F27" s="40" t="s">
        <v>4</v>
      </c>
      <c r="G27" s="40" t="s">
        <v>7</v>
      </c>
      <c r="H27" s="40" t="s">
        <v>3</v>
      </c>
      <c r="I27" s="40" t="s">
        <v>4</v>
      </c>
      <c r="J27" s="40" t="s">
        <v>7</v>
      </c>
      <c r="K27" s="40" t="s">
        <v>3</v>
      </c>
      <c r="L27" s="40" t="s">
        <v>4</v>
      </c>
      <c r="M27" s="40" t="s">
        <v>7</v>
      </c>
      <c r="N27" s="40" t="s">
        <v>3</v>
      </c>
      <c r="O27" s="40" t="s">
        <v>4</v>
      </c>
      <c r="P27" s="40" t="s">
        <v>7</v>
      </c>
      <c r="Q27" s="40" t="s">
        <v>3</v>
      </c>
      <c r="R27" s="40" t="s">
        <v>4</v>
      </c>
      <c r="S27" s="40" t="s">
        <v>7</v>
      </c>
      <c r="T27" s="40" t="s">
        <v>3</v>
      </c>
    </row>
    <row r="28" spans="1:20">
      <c r="A28" s="43">
        <v>1</v>
      </c>
      <c r="B28" s="47" t="s">
        <v>176</v>
      </c>
      <c r="C28" s="47">
        <v>154</v>
      </c>
      <c r="D28" s="47">
        <v>50</v>
      </c>
      <c r="E28" s="47">
        <f>+C28*D28</f>
        <v>7700</v>
      </c>
      <c r="F28" s="47">
        <v>143</v>
      </c>
      <c r="G28" s="47">
        <v>50</v>
      </c>
      <c r="H28" s="47">
        <f>+F28*G28</f>
        <v>7150</v>
      </c>
      <c r="I28" s="47">
        <v>132</v>
      </c>
      <c r="J28" s="47">
        <v>50</v>
      </c>
      <c r="K28" s="47">
        <f>+I28*J28</f>
        <v>6600</v>
      </c>
      <c r="L28" s="47">
        <v>110</v>
      </c>
      <c r="M28" s="47">
        <v>50</v>
      </c>
      <c r="N28" s="47">
        <f>+L28*M28</f>
        <v>5500</v>
      </c>
      <c r="O28" s="47">
        <v>132</v>
      </c>
      <c r="P28" s="47">
        <v>50</v>
      </c>
      <c r="Q28" s="47">
        <f>+O28*P28</f>
        <v>6600</v>
      </c>
      <c r="R28" s="47">
        <v>143</v>
      </c>
      <c r="S28" s="47">
        <v>50</v>
      </c>
      <c r="T28" s="47">
        <f>+R28*S28</f>
        <v>7150</v>
      </c>
    </row>
    <row r="29" spans="1:20">
      <c r="A29" s="43">
        <v>2</v>
      </c>
      <c r="B29" s="47" t="s">
        <v>177</v>
      </c>
      <c r="C29" s="47">
        <v>33</v>
      </c>
      <c r="D29" s="47">
        <v>11</v>
      </c>
      <c r="E29" s="47">
        <f t="shared" ref="E29:E38" si="6">+C29*D29</f>
        <v>363</v>
      </c>
      <c r="F29" s="47">
        <v>33</v>
      </c>
      <c r="G29" s="47">
        <v>11</v>
      </c>
      <c r="H29" s="47">
        <f t="shared" ref="H29:H38" si="7">+F29*G29</f>
        <v>363</v>
      </c>
      <c r="I29" s="47">
        <v>33</v>
      </c>
      <c r="J29" s="47">
        <v>11</v>
      </c>
      <c r="K29" s="47">
        <f t="shared" ref="K29:K38" si="8">+I29*J29</f>
        <v>363</v>
      </c>
      <c r="L29" s="47">
        <v>33</v>
      </c>
      <c r="M29" s="47">
        <v>11</v>
      </c>
      <c r="N29" s="47">
        <f t="shared" ref="N29:N38" si="9">+L29*M29</f>
        <v>363</v>
      </c>
      <c r="O29" s="47">
        <v>33</v>
      </c>
      <c r="P29" s="47">
        <v>11</v>
      </c>
      <c r="Q29" s="47">
        <f t="shared" ref="Q29:Q38" si="10">+O29*P29</f>
        <v>363</v>
      </c>
      <c r="R29" s="47">
        <v>33</v>
      </c>
      <c r="S29" s="47">
        <v>11</v>
      </c>
      <c r="T29" s="47">
        <f t="shared" ref="T29:T38" si="11">+R29*S29</f>
        <v>363</v>
      </c>
    </row>
    <row r="30" spans="1:20">
      <c r="A30" s="43">
        <v>3</v>
      </c>
      <c r="B30" s="47" t="s">
        <v>178</v>
      </c>
      <c r="C30" s="47">
        <v>33</v>
      </c>
      <c r="D30" s="47">
        <v>30</v>
      </c>
      <c r="E30" s="47">
        <f t="shared" si="6"/>
        <v>990</v>
      </c>
      <c r="F30" s="47">
        <v>33</v>
      </c>
      <c r="G30" s="47">
        <v>30</v>
      </c>
      <c r="H30" s="47">
        <f t="shared" si="7"/>
        <v>990</v>
      </c>
      <c r="I30" s="47">
        <v>33</v>
      </c>
      <c r="J30" s="47">
        <v>30</v>
      </c>
      <c r="K30" s="47">
        <f t="shared" si="8"/>
        <v>990</v>
      </c>
      <c r="L30" s="47">
        <v>33</v>
      </c>
      <c r="M30" s="47">
        <v>30</v>
      </c>
      <c r="N30" s="47">
        <f t="shared" si="9"/>
        <v>990</v>
      </c>
      <c r="O30" s="47">
        <v>33</v>
      </c>
      <c r="P30" s="47">
        <v>30</v>
      </c>
      <c r="Q30" s="47">
        <f t="shared" si="10"/>
        <v>990</v>
      </c>
      <c r="R30" s="47">
        <v>33</v>
      </c>
      <c r="S30" s="47">
        <v>30</v>
      </c>
      <c r="T30" s="47">
        <f t="shared" si="11"/>
        <v>990</v>
      </c>
    </row>
    <row r="31" spans="1:20">
      <c r="A31" s="43">
        <v>4</v>
      </c>
      <c r="B31" s="47" t="s">
        <v>179</v>
      </c>
      <c r="C31" s="47">
        <v>9</v>
      </c>
      <c r="D31" s="47">
        <v>40</v>
      </c>
      <c r="E31" s="47">
        <f t="shared" si="6"/>
        <v>360</v>
      </c>
      <c r="F31" s="47">
        <v>4</v>
      </c>
      <c r="G31" s="47">
        <v>40</v>
      </c>
      <c r="H31" s="47">
        <f t="shared" si="7"/>
        <v>160</v>
      </c>
      <c r="I31" s="47">
        <v>4</v>
      </c>
      <c r="J31" s="47">
        <v>40</v>
      </c>
      <c r="K31" s="47">
        <f t="shared" si="8"/>
        <v>160</v>
      </c>
      <c r="L31" s="47">
        <v>4</v>
      </c>
      <c r="M31" s="47">
        <v>40</v>
      </c>
      <c r="N31" s="47">
        <f t="shared" si="9"/>
        <v>160</v>
      </c>
      <c r="O31" s="47">
        <v>4</v>
      </c>
      <c r="P31" s="47">
        <v>40</v>
      </c>
      <c r="Q31" s="47">
        <f t="shared" si="10"/>
        <v>160</v>
      </c>
      <c r="R31" s="47">
        <v>4</v>
      </c>
      <c r="S31" s="47">
        <v>40</v>
      </c>
      <c r="T31" s="47">
        <f t="shared" si="11"/>
        <v>160</v>
      </c>
    </row>
    <row r="32" spans="1:20">
      <c r="A32" s="43">
        <v>5</v>
      </c>
      <c r="B32" s="47" t="s">
        <v>180</v>
      </c>
      <c r="C32" s="47">
        <v>17</v>
      </c>
      <c r="D32" s="47">
        <v>20</v>
      </c>
      <c r="E32" s="47">
        <f t="shared" si="6"/>
        <v>340</v>
      </c>
      <c r="F32" s="47">
        <v>9</v>
      </c>
      <c r="G32" s="47">
        <v>20</v>
      </c>
      <c r="H32" s="47">
        <f t="shared" si="7"/>
        <v>180</v>
      </c>
      <c r="I32" s="47">
        <v>9</v>
      </c>
      <c r="J32" s="47">
        <v>20</v>
      </c>
      <c r="K32" s="47">
        <f t="shared" si="8"/>
        <v>180</v>
      </c>
      <c r="L32" s="47">
        <v>9</v>
      </c>
      <c r="M32" s="47">
        <v>20</v>
      </c>
      <c r="N32" s="47">
        <f t="shared" si="9"/>
        <v>180</v>
      </c>
      <c r="O32" s="47">
        <v>9</v>
      </c>
      <c r="P32" s="47">
        <v>20</v>
      </c>
      <c r="Q32" s="47">
        <f t="shared" si="10"/>
        <v>180</v>
      </c>
      <c r="R32" s="47">
        <v>9</v>
      </c>
      <c r="S32" s="47">
        <v>20</v>
      </c>
      <c r="T32" s="47">
        <f t="shared" si="11"/>
        <v>180</v>
      </c>
    </row>
    <row r="33" spans="1:20">
      <c r="A33" s="43">
        <v>6</v>
      </c>
      <c r="B33" s="47" t="s">
        <v>181</v>
      </c>
      <c r="C33" s="47">
        <v>9</v>
      </c>
      <c r="D33" s="47">
        <v>25</v>
      </c>
      <c r="E33" s="47">
        <f t="shared" si="6"/>
        <v>225</v>
      </c>
      <c r="F33" s="47">
        <v>9</v>
      </c>
      <c r="G33" s="47">
        <v>25</v>
      </c>
      <c r="H33" s="47">
        <f t="shared" si="7"/>
        <v>225</v>
      </c>
      <c r="I33" s="47">
        <v>9</v>
      </c>
      <c r="J33" s="47">
        <v>25</v>
      </c>
      <c r="K33" s="47">
        <f t="shared" si="8"/>
        <v>225</v>
      </c>
      <c r="L33" s="47">
        <v>9</v>
      </c>
      <c r="M33" s="47">
        <v>25</v>
      </c>
      <c r="N33" s="47">
        <f t="shared" si="9"/>
        <v>225</v>
      </c>
      <c r="O33" s="47">
        <v>9</v>
      </c>
      <c r="P33" s="47">
        <v>25</v>
      </c>
      <c r="Q33" s="47">
        <f t="shared" si="10"/>
        <v>225</v>
      </c>
      <c r="R33" s="47">
        <v>9</v>
      </c>
      <c r="S33" s="47">
        <v>25</v>
      </c>
      <c r="T33" s="47">
        <f t="shared" si="11"/>
        <v>225</v>
      </c>
    </row>
    <row r="34" spans="1:20">
      <c r="A34" s="43">
        <v>7</v>
      </c>
      <c r="B34" s="47" t="s">
        <v>182</v>
      </c>
      <c r="C34" s="47">
        <v>9</v>
      </c>
      <c r="D34" s="47">
        <v>50</v>
      </c>
      <c r="E34" s="47">
        <f t="shared" si="6"/>
        <v>450</v>
      </c>
      <c r="F34" s="47">
        <v>4</v>
      </c>
      <c r="G34" s="47">
        <v>50</v>
      </c>
      <c r="H34" s="47">
        <f t="shared" si="7"/>
        <v>200</v>
      </c>
      <c r="I34" s="47">
        <v>4</v>
      </c>
      <c r="J34" s="47">
        <v>50</v>
      </c>
      <c r="K34" s="47">
        <f t="shared" si="8"/>
        <v>200</v>
      </c>
      <c r="L34" s="47">
        <v>4</v>
      </c>
      <c r="M34" s="47">
        <v>50</v>
      </c>
      <c r="N34" s="47">
        <f t="shared" si="9"/>
        <v>200</v>
      </c>
      <c r="O34" s="47">
        <v>4</v>
      </c>
      <c r="P34" s="47">
        <v>50</v>
      </c>
      <c r="Q34" s="47">
        <f t="shared" si="10"/>
        <v>200</v>
      </c>
      <c r="R34" s="47">
        <v>4</v>
      </c>
      <c r="S34" s="47">
        <v>50</v>
      </c>
      <c r="T34" s="47">
        <f t="shared" si="11"/>
        <v>200</v>
      </c>
    </row>
    <row r="35" spans="1:20">
      <c r="A35" s="43">
        <v>8</v>
      </c>
      <c r="B35" s="47" t="s">
        <v>183</v>
      </c>
      <c r="C35" s="47">
        <v>9</v>
      </c>
      <c r="D35" s="47">
        <v>20</v>
      </c>
      <c r="E35" s="47">
        <f t="shared" si="6"/>
        <v>180</v>
      </c>
      <c r="F35" s="47">
        <v>17</v>
      </c>
      <c r="G35" s="47">
        <v>20</v>
      </c>
      <c r="H35" s="47">
        <f t="shared" si="7"/>
        <v>340</v>
      </c>
      <c r="I35" s="47">
        <v>17</v>
      </c>
      <c r="J35" s="47">
        <v>20</v>
      </c>
      <c r="K35" s="47">
        <f t="shared" si="8"/>
        <v>340</v>
      </c>
      <c r="L35" s="47">
        <v>17</v>
      </c>
      <c r="M35" s="47">
        <v>20</v>
      </c>
      <c r="N35" s="47">
        <f t="shared" si="9"/>
        <v>340</v>
      </c>
      <c r="O35" s="47">
        <v>17</v>
      </c>
      <c r="P35" s="47">
        <v>20</v>
      </c>
      <c r="Q35" s="47">
        <f t="shared" si="10"/>
        <v>340</v>
      </c>
      <c r="R35" s="47">
        <v>17</v>
      </c>
      <c r="S35" s="47">
        <v>20</v>
      </c>
      <c r="T35" s="47">
        <f t="shared" si="11"/>
        <v>340</v>
      </c>
    </row>
    <row r="36" spans="1:20">
      <c r="A36" s="43">
        <v>9</v>
      </c>
      <c r="B36" s="47" t="s">
        <v>184</v>
      </c>
      <c r="C36" s="47">
        <v>4</v>
      </c>
      <c r="D36" s="47">
        <v>25</v>
      </c>
      <c r="E36" s="47">
        <f t="shared" si="6"/>
        <v>100</v>
      </c>
      <c r="F36" s="47">
        <v>6</v>
      </c>
      <c r="G36" s="47">
        <v>25</v>
      </c>
      <c r="H36" s="47">
        <f t="shared" si="7"/>
        <v>150</v>
      </c>
      <c r="I36" s="47">
        <v>6</v>
      </c>
      <c r="J36" s="47">
        <v>25</v>
      </c>
      <c r="K36" s="47">
        <f t="shared" si="8"/>
        <v>150</v>
      </c>
      <c r="L36" s="47">
        <v>6</v>
      </c>
      <c r="M36" s="47">
        <v>25</v>
      </c>
      <c r="N36" s="47">
        <f t="shared" si="9"/>
        <v>150</v>
      </c>
      <c r="O36" s="47">
        <v>6</v>
      </c>
      <c r="P36" s="47">
        <v>25</v>
      </c>
      <c r="Q36" s="47">
        <f t="shared" si="10"/>
        <v>150</v>
      </c>
      <c r="R36" s="47">
        <v>6</v>
      </c>
      <c r="S36" s="47">
        <v>25</v>
      </c>
      <c r="T36" s="47">
        <f t="shared" si="11"/>
        <v>150</v>
      </c>
    </row>
    <row r="37" spans="1:20">
      <c r="A37" s="43">
        <v>10</v>
      </c>
      <c r="B37" s="47" t="s">
        <v>185</v>
      </c>
      <c r="C37" s="47">
        <v>11</v>
      </c>
      <c r="D37" s="47">
        <v>180</v>
      </c>
      <c r="E37" s="47">
        <f t="shared" si="6"/>
        <v>1980</v>
      </c>
      <c r="F37" s="47">
        <v>11</v>
      </c>
      <c r="G37" s="47">
        <v>180</v>
      </c>
      <c r="H37" s="47">
        <f t="shared" si="7"/>
        <v>1980</v>
      </c>
      <c r="I37" s="47">
        <v>11</v>
      </c>
      <c r="J37" s="47">
        <v>180</v>
      </c>
      <c r="K37" s="47">
        <f t="shared" si="8"/>
        <v>1980</v>
      </c>
      <c r="L37" s="47">
        <v>11</v>
      </c>
      <c r="M37" s="47">
        <v>180</v>
      </c>
      <c r="N37" s="47">
        <f t="shared" si="9"/>
        <v>1980</v>
      </c>
      <c r="O37" s="47">
        <v>11</v>
      </c>
      <c r="P37" s="47">
        <v>180</v>
      </c>
      <c r="Q37" s="47">
        <f t="shared" si="10"/>
        <v>1980</v>
      </c>
      <c r="R37" s="47">
        <v>11</v>
      </c>
      <c r="S37" s="47">
        <v>180</v>
      </c>
      <c r="T37" s="47">
        <f t="shared" si="11"/>
        <v>1980</v>
      </c>
    </row>
    <row r="38" spans="1:20">
      <c r="A38" s="43">
        <v>11</v>
      </c>
      <c r="B38" s="47" t="s">
        <v>160</v>
      </c>
      <c r="C38" s="47">
        <v>220</v>
      </c>
      <c r="D38" s="47">
        <v>123</v>
      </c>
      <c r="E38" s="47">
        <f t="shared" si="6"/>
        <v>27060</v>
      </c>
      <c r="F38" s="47">
        <v>220</v>
      </c>
      <c r="G38" s="47">
        <v>123</v>
      </c>
      <c r="H38" s="47">
        <f t="shared" si="7"/>
        <v>27060</v>
      </c>
      <c r="I38" s="47">
        <v>220</v>
      </c>
      <c r="J38" s="47">
        <v>123</v>
      </c>
      <c r="K38" s="47">
        <f t="shared" si="8"/>
        <v>27060</v>
      </c>
      <c r="L38" s="47">
        <v>220</v>
      </c>
      <c r="M38" s="47">
        <v>123</v>
      </c>
      <c r="N38" s="47">
        <f t="shared" si="9"/>
        <v>27060</v>
      </c>
      <c r="O38" s="47">
        <v>220</v>
      </c>
      <c r="P38" s="47">
        <v>123</v>
      </c>
      <c r="Q38" s="47">
        <f t="shared" si="10"/>
        <v>27060</v>
      </c>
      <c r="R38" s="47">
        <v>220</v>
      </c>
      <c r="S38" s="47">
        <v>123</v>
      </c>
      <c r="T38" s="47">
        <f t="shared" si="11"/>
        <v>27060</v>
      </c>
    </row>
    <row r="39" spans="1:20">
      <c r="A39" s="43">
        <v>12</v>
      </c>
      <c r="B39" s="44"/>
      <c r="C39" s="47"/>
      <c r="D39" s="47"/>
      <c r="E39" s="47">
        <v>4</v>
      </c>
      <c r="F39" s="47"/>
      <c r="G39" s="47"/>
      <c r="H39" s="47">
        <f>+F39*G39</f>
        <v>0</v>
      </c>
      <c r="I39" s="47"/>
      <c r="J39" s="47"/>
      <c r="K39" s="47">
        <f>+I39*J39</f>
        <v>0</v>
      </c>
      <c r="L39" s="47"/>
      <c r="M39" s="47"/>
      <c r="N39" s="47">
        <f>+L39*M39</f>
        <v>0</v>
      </c>
      <c r="O39" s="47"/>
      <c r="P39" s="47"/>
      <c r="Q39" s="47">
        <f>+O39*P39</f>
        <v>0</v>
      </c>
      <c r="R39" s="47"/>
      <c r="S39" s="47"/>
      <c r="T39" s="47">
        <f>+R39*S39</f>
        <v>0</v>
      </c>
    </row>
    <row r="40" spans="1:20">
      <c r="A40" s="43">
        <v>13</v>
      </c>
      <c r="B40" s="44"/>
      <c r="C40" s="47"/>
      <c r="D40" s="47"/>
      <c r="E40" s="47">
        <f>+C40*D40</f>
        <v>0</v>
      </c>
      <c r="F40" s="47"/>
      <c r="G40" s="47"/>
      <c r="H40" s="47">
        <f>+F40*G40</f>
        <v>0</v>
      </c>
      <c r="I40" s="47"/>
      <c r="J40" s="47"/>
      <c r="K40" s="47">
        <f>+I40*J40</f>
        <v>0</v>
      </c>
      <c r="L40" s="47"/>
      <c r="M40" s="47"/>
      <c r="N40" s="47">
        <f>+L40*M40</f>
        <v>0</v>
      </c>
      <c r="O40" s="47"/>
      <c r="P40" s="47"/>
      <c r="Q40" s="47">
        <f>+O40*P40</f>
        <v>0</v>
      </c>
      <c r="R40" s="47"/>
      <c r="S40" s="47"/>
      <c r="T40" s="47">
        <f>+R40*S40</f>
        <v>0</v>
      </c>
    </row>
    <row r="41" spans="1:20">
      <c r="A41" s="43">
        <v>14</v>
      </c>
      <c r="B41" s="44"/>
      <c r="C41" s="47"/>
      <c r="D41" s="47"/>
      <c r="E41" s="47">
        <f>+C41*D41</f>
        <v>0</v>
      </c>
      <c r="F41" s="47"/>
      <c r="G41" s="47"/>
      <c r="H41" s="47">
        <f>+F41*G41</f>
        <v>0</v>
      </c>
      <c r="I41" s="47"/>
      <c r="J41" s="47"/>
      <c r="K41" s="47">
        <f>+I41*J41</f>
        <v>0</v>
      </c>
      <c r="L41" s="47"/>
      <c r="M41" s="47"/>
      <c r="N41" s="47">
        <f>+L41*M41</f>
        <v>0</v>
      </c>
      <c r="O41" s="47"/>
      <c r="P41" s="47"/>
      <c r="Q41" s="47">
        <f>+O41*P41</f>
        <v>0</v>
      </c>
      <c r="R41" s="47"/>
      <c r="S41" s="47"/>
      <c r="T41" s="47">
        <f>+R41*S41</f>
        <v>0</v>
      </c>
    </row>
    <row r="42" spans="1:20">
      <c r="A42" s="43">
        <v>15</v>
      </c>
      <c r="B42" s="44"/>
      <c r="C42" s="47"/>
      <c r="D42" s="47"/>
      <c r="E42" s="47">
        <f>+C42*D42</f>
        <v>0</v>
      </c>
      <c r="F42" s="47"/>
      <c r="G42" s="47"/>
      <c r="H42" s="47">
        <f>+F42*G42</f>
        <v>0</v>
      </c>
      <c r="I42" s="47"/>
      <c r="J42" s="47"/>
      <c r="K42" s="47">
        <f>+I42*J42</f>
        <v>0</v>
      </c>
      <c r="L42" s="47"/>
      <c r="M42" s="47"/>
      <c r="N42" s="47">
        <f>+L42*M42</f>
        <v>0</v>
      </c>
      <c r="O42" s="47"/>
      <c r="P42" s="47"/>
      <c r="Q42" s="47">
        <f>+O42*P42</f>
        <v>0</v>
      </c>
      <c r="R42" s="47"/>
      <c r="S42" s="47"/>
      <c r="T42" s="47">
        <f>+R42*S42</f>
        <v>0</v>
      </c>
    </row>
    <row r="43" spans="1:20">
      <c r="A43" s="169" t="s">
        <v>6</v>
      </c>
      <c r="B43" s="169"/>
      <c r="C43" s="45"/>
      <c r="D43" s="45"/>
      <c r="E43" s="47">
        <f>SUM(E28:E42)</f>
        <v>39752</v>
      </c>
      <c r="F43" s="45"/>
      <c r="G43" s="45"/>
      <c r="H43" s="47">
        <f>SUM(H28:H42)</f>
        <v>38798</v>
      </c>
      <c r="I43" s="45"/>
      <c r="J43" s="45"/>
      <c r="K43" s="47">
        <f>SUM(K28:K42)</f>
        <v>38248</v>
      </c>
      <c r="L43" s="45"/>
      <c r="M43" s="45"/>
      <c r="N43" s="47">
        <f>SUM(N28:N42)</f>
        <v>37148</v>
      </c>
      <c r="O43" s="45"/>
      <c r="P43" s="45"/>
      <c r="Q43" s="47">
        <f>SUM(Q28:Q42)</f>
        <v>38248</v>
      </c>
      <c r="R43" s="45"/>
      <c r="S43" s="45"/>
      <c r="T43" s="47">
        <f>SUM(T28:T42)</f>
        <v>38798</v>
      </c>
    </row>
    <row r="44" spans="1:20">
      <c r="A44" s="46"/>
      <c r="B44" s="46"/>
      <c r="C44" s="46"/>
      <c r="D44" s="46"/>
      <c r="E44" s="46"/>
      <c r="F44" s="46"/>
      <c r="G44" s="46"/>
      <c r="H44" s="46"/>
      <c r="I44" s="46"/>
      <c r="J44" s="46" t="s">
        <v>8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</row>
    <row r="45" spans="1:20">
      <c r="A45" s="167" t="s">
        <v>143</v>
      </c>
      <c r="B45" s="167"/>
      <c r="C45" s="168">
        <f>+E22+H22+K22+N22+Q22+T22+E43+H43+K43+N43+Q43+T43</f>
        <v>469695</v>
      </c>
      <c r="D45" s="168"/>
      <c r="E45" s="168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</row>
    <row r="46" spans="1:20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</row>
    <row r="47" spans="1:20" ht="37.5" customHeight="1">
      <c r="A47" s="164" t="s">
        <v>92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6"/>
    </row>
  </sheetData>
  <mergeCells count="25">
    <mergeCell ref="A47:T47"/>
    <mergeCell ref="A45:B45"/>
    <mergeCell ref="C45:E45"/>
    <mergeCell ref="R5:T5"/>
    <mergeCell ref="C5:E5"/>
    <mergeCell ref="A43:B43"/>
    <mergeCell ref="A22:B22"/>
    <mergeCell ref="A25:A27"/>
    <mergeCell ref="B25:B27"/>
    <mergeCell ref="C25:T25"/>
    <mergeCell ref="C26:E26"/>
    <mergeCell ref="F26:H26"/>
    <mergeCell ref="L26:N26"/>
    <mergeCell ref="O26:Q26"/>
    <mergeCell ref="R26:T26"/>
    <mergeCell ref="I26:K26"/>
    <mergeCell ref="C4:T4"/>
    <mergeCell ref="A4:A6"/>
    <mergeCell ref="B4:B6"/>
    <mergeCell ref="F5:H5"/>
    <mergeCell ref="I5:K5"/>
    <mergeCell ref="L5:N5"/>
    <mergeCell ref="O5:Q5"/>
    <mergeCell ref="A1:J1"/>
    <mergeCell ref="A2:J2"/>
  </mergeCells>
  <pageMargins left="1.1023622047244095" right="0.70866141732283472" top="0.74803149606299213" bottom="0.74803149606299213" header="0.31496062992125984" footer="0.31496062992125984"/>
  <pageSetup scale="6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24" zoomScale="80" zoomScaleNormal="80" workbookViewId="0">
      <selection activeCell="X16" sqref="X16"/>
    </sheetView>
  </sheetViews>
  <sheetFormatPr baseColWidth="10" defaultRowHeight="15"/>
  <cols>
    <col min="1" max="1" width="3.140625" bestFit="1" customWidth="1"/>
    <col min="2" max="2" width="17.85546875" customWidth="1"/>
    <col min="3" max="3" width="5.5703125" bestFit="1" customWidth="1"/>
    <col min="4" max="4" width="8.140625" bestFit="1" customWidth="1"/>
    <col min="5" max="5" width="10.5703125" bestFit="1" customWidth="1"/>
    <col min="6" max="6" width="5.5703125" bestFit="1" customWidth="1"/>
    <col min="7" max="7" width="8.140625" bestFit="1" customWidth="1"/>
    <col min="8" max="8" width="10.5703125" bestFit="1" customWidth="1"/>
    <col min="9" max="9" width="5.5703125" bestFit="1" customWidth="1"/>
    <col min="10" max="10" width="8.140625" bestFit="1" customWidth="1"/>
    <col min="11" max="11" width="10.5703125" bestFit="1" customWidth="1"/>
    <col min="12" max="12" width="5.5703125" bestFit="1" customWidth="1"/>
    <col min="13" max="13" width="8.140625" bestFit="1" customWidth="1"/>
    <col min="14" max="14" width="10.5703125" bestFit="1" customWidth="1"/>
    <col min="15" max="15" width="5.5703125" bestFit="1" customWidth="1"/>
    <col min="16" max="16" width="8.140625" bestFit="1" customWidth="1"/>
    <col min="17" max="17" width="10.5703125" bestFit="1" customWidth="1"/>
    <col min="18" max="18" width="5.5703125" bestFit="1" customWidth="1"/>
    <col min="19" max="19" width="8.140625" bestFit="1" customWidth="1"/>
    <col min="20" max="20" width="10.5703125" bestFit="1" customWidth="1"/>
    <col min="21" max="21" width="5.5703125" bestFit="1" customWidth="1"/>
    <col min="22" max="22" width="8.140625" bestFit="1" customWidth="1"/>
    <col min="23" max="23" width="10.5703125" bestFit="1" customWidth="1"/>
    <col min="24" max="24" width="5.5703125" bestFit="1" customWidth="1"/>
    <col min="25" max="25" width="8.140625" bestFit="1" customWidth="1"/>
    <col min="26" max="26" width="10.5703125" bestFit="1" customWidth="1"/>
    <col min="27" max="27" width="5.5703125" bestFit="1" customWidth="1"/>
    <col min="28" max="28" width="8.140625" bestFit="1" customWidth="1"/>
    <col min="29" max="29" width="10.5703125" bestFit="1" customWidth="1"/>
    <col min="30" max="30" width="5.5703125" bestFit="1" customWidth="1"/>
    <col min="31" max="31" width="8.140625" bestFit="1" customWidth="1"/>
    <col min="32" max="32" width="10.5703125" bestFit="1" customWidth="1"/>
    <col min="33" max="33" width="5.5703125" bestFit="1" customWidth="1"/>
    <col min="34" max="34" width="8.140625" bestFit="1" customWidth="1"/>
    <col min="35" max="35" width="10.5703125" bestFit="1" customWidth="1"/>
    <col min="36" max="36" width="5.5703125" bestFit="1" customWidth="1"/>
    <col min="37" max="37" width="8.140625" bestFit="1" customWidth="1"/>
    <col min="38" max="38" width="10.5703125" bestFit="1" customWidth="1"/>
  </cols>
  <sheetData>
    <row r="1" spans="1:20">
      <c r="A1" s="155" t="s">
        <v>85</v>
      </c>
      <c r="B1" s="156"/>
      <c r="C1" s="156"/>
      <c r="D1" s="156"/>
      <c r="E1" s="156"/>
      <c r="F1" s="156"/>
      <c r="G1" s="157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>
      <c r="A2" s="155" t="s">
        <v>86</v>
      </c>
      <c r="B2" s="156"/>
      <c r="C2" s="156"/>
      <c r="D2" s="156"/>
      <c r="E2" s="156"/>
      <c r="F2" s="156"/>
      <c r="G2" s="15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>
      <c r="A3" s="46">
        <v>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>
      <c r="A4" s="177" t="s">
        <v>5</v>
      </c>
      <c r="B4" s="171" t="s">
        <v>88</v>
      </c>
      <c r="C4" s="170" t="s">
        <v>0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</row>
    <row r="5" spans="1:20">
      <c r="A5" s="177"/>
      <c r="B5" s="172"/>
      <c r="C5" s="170" t="s">
        <v>73</v>
      </c>
      <c r="D5" s="170"/>
      <c r="E5" s="170"/>
      <c r="F5" s="170" t="s">
        <v>74</v>
      </c>
      <c r="G5" s="170"/>
      <c r="H5" s="170"/>
      <c r="I5" s="170" t="s">
        <v>75</v>
      </c>
      <c r="J5" s="170"/>
      <c r="K5" s="170"/>
      <c r="L5" s="170" t="s">
        <v>76</v>
      </c>
      <c r="M5" s="170"/>
      <c r="N5" s="170"/>
      <c r="O5" s="170" t="s">
        <v>77</v>
      </c>
      <c r="P5" s="170"/>
      <c r="Q5" s="170"/>
      <c r="R5" s="170" t="s">
        <v>78</v>
      </c>
      <c r="S5" s="170"/>
      <c r="T5" s="170"/>
    </row>
    <row r="6" spans="1:20">
      <c r="A6" s="177"/>
      <c r="B6" s="173"/>
      <c r="C6" s="119" t="s">
        <v>4</v>
      </c>
      <c r="D6" s="119" t="s">
        <v>2</v>
      </c>
      <c r="E6" s="119" t="s">
        <v>3</v>
      </c>
      <c r="F6" s="119" t="s">
        <v>4</v>
      </c>
      <c r="G6" s="119" t="s">
        <v>2</v>
      </c>
      <c r="H6" s="119" t="s">
        <v>3</v>
      </c>
      <c r="I6" s="119" t="s">
        <v>4</v>
      </c>
      <c r="J6" s="119" t="s">
        <v>2</v>
      </c>
      <c r="K6" s="119" t="s">
        <v>3</v>
      </c>
      <c r="L6" s="119" t="s">
        <v>4</v>
      </c>
      <c r="M6" s="119" t="s">
        <v>2</v>
      </c>
      <c r="N6" s="119" t="s">
        <v>3</v>
      </c>
      <c r="O6" s="119" t="s">
        <v>4</v>
      </c>
      <c r="P6" s="119" t="s">
        <v>2</v>
      </c>
      <c r="Q6" s="119" t="s">
        <v>3</v>
      </c>
      <c r="R6" s="119" t="s">
        <v>4</v>
      </c>
      <c r="S6" s="119" t="s">
        <v>2</v>
      </c>
      <c r="T6" s="119" t="s">
        <v>3</v>
      </c>
    </row>
    <row r="7" spans="1:20">
      <c r="A7" s="117">
        <v>1</v>
      </c>
      <c r="B7" s="47" t="s">
        <v>176</v>
      </c>
      <c r="C7" s="47">
        <v>165</v>
      </c>
      <c r="D7" s="47">
        <v>50</v>
      </c>
      <c r="E7" s="47">
        <f>+C7*D7</f>
        <v>8250</v>
      </c>
      <c r="F7" s="47">
        <v>165</v>
      </c>
      <c r="G7" s="47">
        <v>50</v>
      </c>
      <c r="H7" s="47">
        <f>+F7*G7</f>
        <v>8250</v>
      </c>
      <c r="I7" s="47">
        <v>154</v>
      </c>
      <c r="J7" s="47">
        <v>50</v>
      </c>
      <c r="K7" s="47">
        <f>+I7*J7</f>
        <v>7700</v>
      </c>
      <c r="L7" s="47">
        <v>165</v>
      </c>
      <c r="M7" s="47">
        <v>50</v>
      </c>
      <c r="N7" s="47">
        <f>+L7*M7</f>
        <v>8250</v>
      </c>
      <c r="O7" s="47">
        <v>143</v>
      </c>
      <c r="P7" s="47">
        <v>50</v>
      </c>
      <c r="Q7" s="47">
        <f>+O7*P7</f>
        <v>7150</v>
      </c>
      <c r="R7" s="47">
        <v>165</v>
      </c>
      <c r="S7" s="47">
        <v>50</v>
      </c>
      <c r="T7" s="47">
        <f>+R7*S7</f>
        <v>8250</v>
      </c>
    </row>
    <row r="8" spans="1:20">
      <c r="A8" s="117">
        <v>2</v>
      </c>
      <c r="B8" s="47" t="s">
        <v>177</v>
      </c>
      <c r="C8" s="47">
        <v>33</v>
      </c>
      <c r="D8" s="47">
        <v>30</v>
      </c>
      <c r="E8" s="47">
        <f t="shared" ref="E8:E21" si="0">+C8*D8</f>
        <v>990</v>
      </c>
      <c r="F8" s="47">
        <v>33</v>
      </c>
      <c r="G8" s="47">
        <v>30</v>
      </c>
      <c r="H8" s="47">
        <f t="shared" ref="H8:H21" si="1">+F8*G8</f>
        <v>990</v>
      </c>
      <c r="I8" s="47">
        <v>28</v>
      </c>
      <c r="J8" s="47">
        <v>30</v>
      </c>
      <c r="K8" s="47">
        <f t="shared" ref="K8:K21" si="2">+I8*J8</f>
        <v>840</v>
      </c>
      <c r="L8" s="47">
        <v>33</v>
      </c>
      <c r="M8" s="47">
        <v>30</v>
      </c>
      <c r="N8" s="47">
        <f t="shared" ref="N8:N21" si="3">+L8*M8</f>
        <v>990</v>
      </c>
      <c r="O8" s="47">
        <v>33</v>
      </c>
      <c r="P8" s="47">
        <v>30</v>
      </c>
      <c r="Q8" s="47">
        <f t="shared" ref="Q8:Q21" si="4">+O8*P8</f>
        <v>990</v>
      </c>
      <c r="R8" s="47">
        <v>33</v>
      </c>
      <c r="S8" s="47">
        <v>30</v>
      </c>
      <c r="T8" s="47">
        <f t="shared" ref="T8:T21" si="5">+R8*S8</f>
        <v>990</v>
      </c>
    </row>
    <row r="9" spans="1:20">
      <c r="A9" s="117">
        <v>3</v>
      </c>
      <c r="B9" s="47" t="s">
        <v>178</v>
      </c>
      <c r="C9" s="47">
        <v>33</v>
      </c>
      <c r="D9" s="47">
        <v>80</v>
      </c>
      <c r="E9" s="47">
        <f t="shared" si="0"/>
        <v>2640</v>
      </c>
      <c r="F9" s="47">
        <v>33</v>
      </c>
      <c r="G9" s="47">
        <v>80</v>
      </c>
      <c r="H9" s="47">
        <f t="shared" si="1"/>
        <v>2640</v>
      </c>
      <c r="I9" s="47">
        <v>28</v>
      </c>
      <c r="J9" s="47">
        <v>80</v>
      </c>
      <c r="K9" s="47">
        <f t="shared" si="2"/>
        <v>2240</v>
      </c>
      <c r="L9" s="47">
        <v>33</v>
      </c>
      <c r="M9" s="47">
        <v>80</v>
      </c>
      <c r="N9" s="47">
        <f t="shared" si="3"/>
        <v>2640</v>
      </c>
      <c r="O9" s="47">
        <v>44</v>
      </c>
      <c r="P9" s="47">
        <v>80</v>
      </c>
      <c r="Q9" s="47">
        <f t="shared" si="4"/>
        <v>3520</v>
      </c>
      <c r="R9" s="47">
        <v>33</v>
      </c>
      <c r="S9" s="47">
        <v>80</v>
      </c>
      <c r="T9" s="47">
        <f t="shared" si="5"/>
        <v>2640</v>
      </c>
    </row>
    <row r="10" spans="1:20">
      <c r="A10" s="117">
        <v>4</v>
      </c>
      <c r="B10" s="47" t="s">
        <v>179</v>
      </c>
      <c r="C10" s="47">
        <v>4</v>
      </c>
      <c r="D10" s="47">
        <v>80</v>
      </c>
      <c r="E10" s="47">
        <f t="shared" si="0"/>
        <v>320</v>
      </c>
      <c r="F10" s="47">
        <v>4</v>
      </c>
      <c r="G10" s="47">
        <v>80</v>
      </c>
      <c r="H10" s="47">
        <f t="shared" si="1"/>
        <v>320</v>
      </c>
      <c r="I10" s="47">
        <v>4</v>
      </c>
      <c r="J10" s="47">
        <v>80</v>
      </c>
      <c r="K10" s="47">
        <f t="shared" si="2"/>
        <v>320</v>
      </c>
      <c r="L10" s="47">
        <v>4</v>
      </c>
      <c r="M10" s="47">
        <v>80</v>
      </c>
      <c r="N10" s="47">
        <f t="shared" si="3"/>
        <v>320</v>
      </c>
      <c r="O10" s="47">
        <v>17</v>
      </c>
      <c r="P10" s="47">
        <v>80</v>
      </c>
      <c r="Q10" s="47">
        <f t="shared" si="4"/>
        <v>1360</v>
      </c>
      <c r="R10" s="47">
        <v>4</v>
      </c>
      <c r="S10" s="47">
        <v>80</v>
      </c>
      <c r="T10" s="47">
        <f t="shared" si="5"/>
        <v>320</v>
      </c>
    </row>
    <row r="11" spans="1:20">
      <c r="A11" s="117">
        <v>5</v>
      </c>
      <c r="B11" s="47" t="s">
        <v>180</v>
      </c>
      <c r="C11" s="47">
        <v>9</v>
      </c>
      <c r="D11" s="47">
        <v>45</v>
      </c>
      <c r="E11" s="47">
        <f t="shared" si="0"/>
        <v>405</v>
      </c>
      <c r="F11" s="47">
        <v>9</v>
      </c>
      <c r="G11" s="47">
        <v>45</v>
      </c>
      <c r="H11" s="47">
        <f t="shared" si="1"/>
        <v>405</v>
      </c>
      <c r="I11" s="47">
        <v>7</v>
      </c>
      <c r="J11" s="47">
        <v>45</v>
      </c>
      <c r="K11" s="47">
        <f t="shared" si="2"/>
        <v>315</v>
      </c>
      <c r="L11" s="47">
        <v>9</v>
      </c>
      <c r="M11" s="47">
        <v>45</v>
      </c>
      <c r="N11" s="47">
        <f t="shared" si="3"/>
        <v>405</v>
      </c>
      <c r="O11" s="47">
        <v>22</v>
      </c>
      <c r="P11" s="47">
        <v>45</v>
      </c>
      <c r="Q11" s="47">
        <f t="shared" si="4"/>
        <v>990</v>
      </c>
      <c r="R11" s="47">
        <v>9</v>
      </c>
      <c r="S11" s="47">
        <v>45</v>
      </c>
      <c r="T11" s="47">
        <f t="shared" si="5"/>
        <v>405</v>
      </c>
    </row>
    <row r="12" spans="1:20">
      <c r="A12" s="117">
        <v>6</v>
      </c>
      <c r="B12" s="47" t="s">
        <v>181</v>
      </c>
      <c r="C12" s="47">
        <v>9</v>
      </c>
      <c r="D12" s="47">
        <v>90</v>
      </c>
      <c r="E12" s="47">
        <f t="shared" si="0"/>
        <v>810</v>
      </c>
      <c r="F12" s="47">
        <v>9</v>
      </c>
      <c r="G12" s="47">
        <v>90</v>
      </c>
      <c r="H12" s="47">
        <f t="shared" si="1"/>
        <v>810</v>
      </c>
      <c r="I12" s="47">
        <v>9</v>
      </c>
      <c r="J12" s="47">
        <v>90</v>
      </c>
      <c r="K12" s="47">
        <f t="shared" si="2"/>
        <v>810</v>
      </c>
      <c r="L12" s="47">
        <v>9</v>
      </c>
      <c r="M12" s="47">
        <v>90</v>
      </c>
      <c r="N12" s="47">
        <f t="shared" si="3"/>
        <v>810</v>
      </c>
      <c r="O12" s="47">
        <v>9</v>
      </c>
      <c r="P12" s="47">
        <v>90</v>
      </c>
      <c r="Q12" s="47">
        <f t="shared" si="4"/>
        <v>810</v>
      </c>
      <c r="R12" s="47">
        <v>9</v>
      </c>
      <c r="S12" s="47">
        <v>90</v>
      </c>
      <c r="T12" s="47">
        <f t="shared" si="5"/>
        <v>810</v>
      </c>
    </row>
    <row r="13" spans="1:20">
      <c r="A13" s="117">
        <v>7</v>
      </c>
      <c r="B13" s="47" t="s">
        <v>182</v>
      </c>
      <c r="C13" s="47">
        <v>4</v>
      </c>
      <c r="D13" s="47">
        <v>200</v>
      </c>
      <c r="E13" s="47">
        <f t="shared" si="0"/>
        <v>800</v>
      </c>
      <c r="F13" s="47">
        <v>4</v>
      </c>
      <c r="G13" s="47">
        <v>200</v>
      </c>
      <c r="H13" s="47">
        <f t="shared" si="1"/>
        <v>800</v>
      </c>
      <c r="I13" s="47">
        <v>3</v>
      </c>
      <c r="J13" s="47">
        <v>200</v>
      </c>
      <c r="K13" s="47">
        <f t="shared" si="2"/>
        <v>600</v>
      </c>
      <c r="L13" s="47">
        <v>4</v>
      </c>
      <c r="M13" s="47">
        <v>200</v>
      </c>
      <c r="N13" s="47">
        <f t="shared" si="3"/>
        <v>800</v>
      </c>
      <c r="O13" s="47">
        <v>4</v>
      </c>
      <c r="P13" s="47">
        <v>200</v>
      </c>
      <c r="Q13" s="47">
        <f t="shared" si="4"/>
        <v>800</v>
      </c>
      <c r="R13" s="47">
        <v>4</v>
      </c>
      <c r="S13" s="47">
        <v>200</v>
      </c>
      <c r="T13" s="47">
        <f t="shared" si="5"/>
        <v>800</v>
      </c>
    </row>
    <row r="14" spans="1:20">
      <c r="A14" s="117">
        <v>8</v>
      </c>
      <c r="B14" s="47" t="s">
        <v>183</v>
      </c>
      <c r="C14" s="47">
        <v>17</v>
      </c>
      <c r="D14" s="47">
        <v>50</v>
      </c>
      <c r="E14" s="47">
        <f t="shared" si="0"/>
        <v>850</v>
      </c>
      <c r="F14" s="47">
        <v>17</v>
      </c>
      <c r="G14" s="47">
        <v>50</v>
      </c>
      <c r="H14" s="47">
        <f t="shared" si="1"/>
        <v>850</v>
      </c>
      <c r="I14" s="47">
        <v>22</v>
      </c>
      <c r="J14" s="47">
        <v>50</v>
      </c>
      <c r="K14" s="47">
        <f t="shared" si="2"/>
        <v>1100</v>
      </c>
      <c r="L14" s="47">
        <v>17</v>
      </c>
      <c r="M14" s="47">
        <v>50</v>
      </c>
      <c r="N14" s="47">
        <f t="shared" si="3"/>
        <v>850</v>
      </c>
      <c r="O14" s="47">
        <v>17</v>
      </c>
      <c r="P14" s="47">
        <v>50</v>
      </c>
      <c r="Q14" s="47">
        <f t="shared" si="4"/>
        <v>850</v>
      </c>
      <c r="R14" s="47">
        <v>17</v>
      </c>
      <c r="S14" s="47">
        <v>50</v>
      </c>
      <c r="T14" s="47">
        <f t="shared" si="5"/>
        <v>850</v>
      </c>
    </row>
    <row r="15" spans="1:20">
      <c r="A15" s="117">
        <v>9</v>
      </c>
      <c r="B15" s="47" t="s">
        <v>184</v>
      </c>
      <c r="C15" s="47">
        <v>6</v>
      </c>
      <c r="D15" s="47">
        <v>100</v>
      </c>
      <c r="E15" s="47">
        <f t="shared" si="0"/>
        <v>600</v>
      </c>
      <c r="F15" s="47">
        <v>6</v>
      </c>
      <c r="G15" s="47">
        <v>100</v>
      </c>
      <c r="H15" s="47">
        <f t="shared" si="1"/>
        <v>600</v>
      </c>
      <c r="I15" s="47">
        <v>8</v>
      </c>
      <c r="J15" s="47">
        <v>100</v>
      </c>
      <c r="K15" s="47">
        <f t="shared" si="2"/>
        <v>800</v>
      </c>
      <c r="L15" s="47">
        <v>6</v>
      </c>
      <c r="M15" s="47">
        <v>100</v>
      </c>
      <c r="N15" s="47">
        <f t="shared" si="3"/>
        <v>600</v>
      </c>
      <c r="O15" s="47">
        <v>6</v>
      </c>
      <c r="P15" s="47">
        <v>100</v>
      </c>
      <c r="Q15" s="47">
        <f t="shared" si="4"/>
        <v>600</v>
      </c>
      <c r="R15" s="47">
        <v>6</v>
      </c>
      <c r="S15" s="47">
        <v>100</v>
      </c>
      <c r="T15" s="47">
        <f t="shared" si="5"/>
        <v>600</v>
      </c>
    </row>
    <row r="16" spans="1:20">
      <c r="A16" s="117">
        <v>10</v>
      </c>
      <c r="B16" s="47" t="s">
        <v>185</v>
      </c>
      <c r="C16" s="47">
        <v>11</v>
      </c>
      <c r="D16" s="47">
        <v>200</v>
      </c>
      <c r="E16" s="47">
        <f t="shared" si="0"/>
        <v>2200</v>
      </c>
      <c r="F16" s="47">
        <v>11</v>
      </c>
      <c r="G16" s="47">
        <v>200</v>
      </c>
      <c r="H16" s="47">
        <f t="shared" si="1"/>
        <v>2200</v>
      </c>
      <c r="I16" s="47">
        <v>11</v>
      </c>
      <c r="J16" s="47">
        <v>200</v>
      </c>
      <c r="K16" s="47">
        <f t="shared" si="2"/>
        <v>2200</v>
      </c>
      <c r="L16" s="47">
        <v>11</v>
      </c>
      <c r="M16" s="47">
        <v>200</v>
      </c>
      <c r="N16" s="47">
        <f t="shared" si="3"/>
        <v>2200</v>
      </c>
      <c r="O16" s="47">
        <v>11</v>
      </c>
      <c r="P16" s="47">
        <v>200</v>
      </c>
      <c r="Q16" s="47">
        <f t="shared" si="4"/>
        <v>2200</v>
      </c>
      <c r="R16" s="47">
        <v>11</v>
      </c>
      <c r="S16" s="47">
        <v>200</v>
      </c>
      <c r="T16" s="47">
        <f t="shared" si="5"/>
        <v>2200</v>
      </c>
    </row>
    <row r="17" spans="1:20">
      <c r="A17" s="117">
        <v>11</v>
      </c>
      <c r="B17" s="47" t="s">
        <v>160</v>
      </c>
      <c r="C17" s="47">
        <v>220</v>
      </c>
      <c r="D17" s="47">
        <v>250</v>
      </c>
      <c r="E17" s="47">
        <f t="shared" si="0"/>
        <v>55000</v>
      </c>
      <c r="F17" s="47">
        <v>220</v>
      </c>
      <c r="G17" s="47">
        <v>250</v>
      </c>
      <c r="H17" s="47">
        <f t="shared" si="1"/>
        <v>55000</v>
      </c>
      <c r="I17" s="47">
        <v>220</v>
      </c>
      <c r="J17" s="47">
        <v>250</v>
      </c>
      <c r="K17" s="47">
        <f t="shared" si="2"/>
        <v>55000</v>
      </c>
      <c r="L17" s="47">
        <v>220</v>
      </c>
      <c r="M17" s="47">
        <v>250</v>
      </c>
      <c r="N17" s="47">
        <f t="shared" si="3"/>
        <v>55000</v>
      </c>
      <c r="O17" s="47">
        <v>220</v>
      </c>
      <c r="P17" s="47">
        <v>250</v>
      </c>
      <c r="Q17" s="47">
        <f t="shared" si="4"/>
        <v>55000</v>
      </c>
      <c r="R17" s="47">
        <v>220</v>
      </c>
      <c r="S17" s="47">
        <v>250</v>
      </c>
      <c r="T17" s="47">
        <f t="shared" si="5"/>
        <v>55000</v>
      </c>
    </row>
    <row r="18" spans="1:20">
      <c r="A18" s="117">
        <v>12</v>
      </c>
      <c r="B18" s="47"/>
      <c r="C18" s="47"/>
      <c r="D18" s="47"/>
      <c r="E18" s="47">
        <f t="shared" si="0"/>
        <v>0</v>
      </c>
      <c r="F18" s="47"/>
      <c r="G18" s="47"/>
      <c r="H18" s="47">
        <f t="shared" si="1"/>
        <v>0</v>
      </c>
      <c r="I18" s="47"/>
      <c r="J18" s="47"/>
      <c r="K18" s="47">
        <f t="shared" si="2"/>
        <v>0</v>
      </c>
      <c r="L18" s="47"/>
      <c r="M18" s="47"/>
      <c r="N18" s="47">
        <f t="shared" si="3"/>
        <v>0</v>
      </c>
      <c r="O18" s="47"/>
      <c r="P18" s="47"/>
      <c r="Q18" s="47">
        <f t="shared" si="4"/>
        <v>0</v>
      </c>
      <c r="R18" s="47"/>
      <c r="S18" s="47"/>
      <c r="T18" s="47">
        <f t="shared" si="5"/>
        <v>0</v>
      </c>
    </row>
    <row r="19" spans="1:20">
      <c r="A19" s="117">
        <v>13</v>
      </c>
      <c r="B19" s="47"/>
      <c r="C19" s="47"/>
      <c r="D19" s="47"/>
      <c r="E19" s="47">
        <f t="shared" si="0"/>
        <v>0</v>
      </c>
      <c r="F19" s="47"/>
      <c r="G19" s="47"/>
      <c r="H19" s="47">
        <f t="shared" si="1"/>
        <v>0</v>
      </c>
      <c r="I19" s="47"/>
      <c r="J19" s="47"/>
      <c r="K19" s="47">
        <f t="shared" si="2"/>
        <v>0</v>
      </c>
      <c r="L19" s="47"/>
      <c r="M19" s="47"/>
      <c r="N19" s="47">
        <f t="shared" si="3"/>
        <v>0</v>
      </c>
      <c r="O19" s="47"/>
      <c r="P19" s="47"/>
      <c r="Q19" s="47">
        <f t="shared" si="4"/>
        <v>0</v>
      </c>
      <c r="R19" s="47"/>
      <c r="S19" s="47"/>
      <c r="T19" s="47">
        <f t="shared" si="5"/>
        <v>0</v>
      </c>
    </row>
    <row r="20" spans="1:20">
      <c r="A20" s="117">
        <v>14</v>
      </c>
      <c r="B20" s="47"/>
      <c r="C20" s="47"/>
      <c r="D20" s="47"/>
      <c r="E20" s="47">
        <f t="shared" si="0"/>
        <v>0</v>
      </c>
      <c r="F20" s="47"/>
      <c r="G20" s="47"/>
      <c r="H20" s="47">
        <f t="shared" si="1"/>
        <v>0</v>
      </c>
      <c r="I20" s="47"/>
      <c r="J20" s="47"/>
      <c r="K20" s="47">
        <f t="shared" si="2"/>
        <v>0</v>
      </c>
      <c r="L20" s="47"/>
      <c r="M20" s="47"/>
      <c r="N20" s="47">
        <f t="shared" si="3"/>
        <v>0</v>
      </c>
      <c r="O20" s="47"/>
      <c r="P20" s="47"/>
      <c r="Q20" s="47">
        <f t="shared" si="4"/>
        <v>0</v>
      </c>
      <c r="R20" s="47"/>
      <c r="S20" s="47"/>
      <c r="T20" s="47">
        <f t="shared" si="5"/>
        <v>0</v>
      </c>
    </row>
    <row r="21" spans="1:20">
      <c r="A21" s="117">
        <v>15</v>
      </c>
      <c r="B21" s="47"/>
      <c r="C21" s="47"/>
      <c r="D21" s="47"/>
      <c r="E21" s="47">
        <f t="shared" si="0"/>
        <v>0</v>
      </c>
      <c r="F21" s="47"/>
      <c r="G21" s="47"/>
      <c r="H21" s="47">
        <f t="shared" si="1"/>
        <v>0</v>
      </c>
      <c r="I21" s="47"/>
      <c r="J21" s="47"/>
      <c r="K21" s="47">
        <f t="shared" si="2"/>
        <v>0</v>
      </c>
      <c r="L21" s="47"/>
      <c r="M21" s="47"/>
      <c r="N21" s="47">
        <f t="shared" si="3"/>
        <v>0</v>
      </c>
      <c r="O21" s="47"/>
      <c r="P21" s="47"/>
      <c r="Q21" s="47">
        <f t="shared" si="4"/>
        <v>0</v>
      </c>
      <c r="R21" s="47"/>
      <c r="S21" s="47"/>
      <c r="T21" s="47">
        <f t="shared" si="5"/>
        <v>0</v>
      </c>
    </row>
    <row r="22" spans="1:20">
      <c r="A22" s="169" t="s">
        <v>6</v>
      </c>
      <c r="B22" s="169"/>
      <c r="C22" s="46"/>
      <c r="D22" s="46"/>
      <c r="E22" s="47">
        <f>SUM(E7:E21)</f>
        <v>72865</v>
      </c>
      <c r="F22" s="46"/>
      <c r="G22" s="46"/>
      <c r="H22" s="47">
        <f>SUM(H7:H21)</f>
        <v>72865</v>
      </c>
      <c r="I22" s="46"/>
      <c r="J22" s="46"/>
      <c r="K22" s="47">
        <f>SUM(K7:K21)</f>
        <v>71925</v>
      </c>
      <c r="L22" s="46"/>
      <c r="M22" s="46"/>
      <c r="N22" s="47">
        <f>SUM(N7:N21)</f>
        <v>72865</v>
      </c>
      <c r="O22" s="46"/>
      <c r="P22" s="46"/>
      <c r="Q22" s="47">
        <f>SUM(Q7:Q21)</f>
        <v>74270</v>
      </c>
      <c r="R22" s="46"/>
      <c r="S22" s="46"/>
      <c r="T22" s="47">
        <f>SUM(T7:T21)</f>
        <v>72865</v>
      </c>
    </row>
    <row r="23" spans="1:20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>
      <c r="A24" s="177" t="s">
        <v>5</v>
      </c>
      <c r="B24" s="171" t="s">
        <v>88</v>
      </c>
      <c r="C24" s="170" t="s">
        <v>0</v>
      </c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</row>
    <row r="25" spans="1:20">
      <c r="A25" s="177"/>
      <c r="B25" s="172"/>
      <c r="C25" s="170" t="s">
        <v>79</v>
      </c>
      <c r="D25" s="170"/>
      <c r="E25" s="170"/>
      <c r="F25" s="170" t="s">
        <v>80</v>
      </c>
      <c r="G25" s="170"/>
      <c r="H25" s="170"/>
      <c r="I25" s="170" t="s">
        <v>81</v>
      </c>
      <c r="J25" s="170"/>
      <c r="K25" s="170"/>
      <c r="L25" s="170" t="s">
        <v>82</v>
      </c>
      <c r="M25" s="170"/>
      <c r="N25" s="170"/>
      <c r="O25" s="170" t="s">
        <v>83</v>
      </c>
      <c r="P25" s="170"/>
      <c r="Q25" s="170"/>
      <c r="R25" s="170" t="s">
        <v>84</v>
      </c>
      <c r="S25" s="170"/>
      <c r="T25" s="170"/>
    </row>
    <row r="26" spans="1:20">
      <c r="A26" s="177"/>
      <c r="B26" s="173"/>
      <c r="C26" s="119" t="s">
        <v>4</v>
      </c>
      <c r="D26" s="119" t="s">
        <v>2</v>
      </c>
      <c r="E26" s="119" t="s">
        <v>3</v>
      </c>
      <c r="F26" s="119" t="s">
        <v>4</v>
      </c>
      <c r="G26" s="119" t="s">
        <v>2</v>
      </c>
      <c r="H26" s="119" t="s">
        <v>3</v>
      </c>
      <c r="I26" s="119" t="s">
        <v>4</v>
      </c>
      <c r="J26" s="119" t="s">
        <v>2</v>
      </c>
      <c r="K26" s="119" t="s">
        <v>3</v>
      </c>
      <c r="L26" s="119" t="s">
        <v>4</v>
      </c>
      <c r="M26" s="119" t="s">
        <v>2</v>
      </c>
      <c r="N26" s="119" t="s">
        <v>3</v>
      </c>
      <c r="O26" s="119" t="s">
        <v>4</v>
      </c>
      <c r="P26" s="119" t="s">
        <v>2</v>
      </c>
      <c r="Q26" s="119" t="s">
        <v>3</v>
      </c>
      <c r="R26" s="119" t="s">
        <v>4</v>
      </c>
      <c r="S26" s="119" t="s">
        <v>2</v>
      </c>
      <c r="T26" s="119" t="s">
        <v>3</v>
      </c>
    </row>
    <row r="27" spans="1:20">
      <c r="A27" s="117">
        <v>1</v>
      </c>
      <c r="B27" s="47" t="s">
        <v>176</v>
      </c>
      <c r="C27" s="47">
        <v>154</v>
      </c>
      <c r="D27" s="47">
        <v>50</v>
      </c>
      <c r="E27" s="47">
        <f>+C27*D27</f>
        <v>7700</v>
      </c>
      <c r="F27" s="47">
        <v>143</v>
      </c>
      <c r="G27" s="47">
        <v>50</v>
      </c>
      <c r="H27" s="47">
        <f>+F27*G27</f>
        <v>7150</v>
      </c>
      <c r="I27" s="47">
        <v>132</v>
      </c>
      <c r="J27" s="47">
        <v>50</v>
      </c>
      <c r="K27" s="47">
        <f>+I27*J27</f>
        <v>6600</v>
      </c>
      <c r="L27" s="47">
        <v>110</v>
      </c>
      <c r="M27" s="47">
        <v>50</v>
      </c>
      <c r="N27" s="47">
        <f>+L27*M27</f>
        <v>5500</v>
      </c>
      <c r="O27" s="47">
        <v>132</v>
      </c>
      <c r="P27" s="47">
        <v>50</v>
      </c>
      <c r="Q27" s="47">
        <f>+O27*P27</f>
        <v>6600</v>
      </c>
      <c r="R27" s="47">
        <v>143</v>
      </c>
      <c r="S27" s="47">
        <v>50</v>
      </c>
      <c r="T27" s="47">
        <f>+R27*S27</f>
        <v>7150</v>
      </c>
    </row>
    <row r="28" spans="1:20">
      <c r="A28" s="117">
        <v>2</v>
      </c>
      <c r="B28" s="47" t="s">
        <v>177</v>
      </c>
      <c r="C28" s="47">
        <v>33</v>
      </c>
      <c r="D28" s="47">
        <v>30</v>
      </c>
      <c r="E28" s="47">
        <f t="shared" ref="E28:E41" si="6">+C28*D28</f>
        <v>990</v>
      </c>
      <c r="F28" s="47">
        <v>33</v>
      </c>
      <c r="G28" s="47">
        <v>30</v>
      </c>
      <c r="H28" s="47">
        <f t="shared" ref="H28:H41" si="7">+F28*G28</f>
        <v>990</v>
      </c>
      <c r="I28" s="47">
        <v>33</v>
      </c>
      <c r="J28" s="47">
        <v>30</v>
      </c>
      <c r="K28" s="47">
        <f t="shared" ref="K28:K41" si="8">+I28*J28</f>
        <v>990</v>
      </c>
      <c r="L28" s="47">
        <v>33</v>
      </c>
      <c r="M28" s="47">
        <v>30</v>
      </c>
      <c r="N28" s="47">
        <f t="shared" ref="N28:N41" si="9">+L28*M28</f>
        <v>990</v>
      </c>
      <c r="O28" s="47">
        <v>33</v>
      </c>
      <c r="P28" s="47">
        <v>30</v>
      </c>
      <c r="Q28" s="47">
        <f t="shared" ref="Q28:Q41" si="10">+O28*P28</f>
        <v>990</v>
      </c>
      <c r="R28" s="47">
        <v>33</v>
      </c>
      <c r="S28" s="47">
        <v>30</v>
      </c>
      <c r="T28" s="47">
        <f t="shared" ref="T28:T41" si="11">+R28*S28</f>
        <v>990</v>
      </c>
    </row>
    <row r="29" spans="1:20">
      <c r="A29" s="117">
        <v>3</v>
      </c>
      <c r="B29" s="47" t="s">
        <v>178</v>
      </c>
      <c r="C29" s="47">
        <v>33</v>
      </c>
      <c r="D29" s="47">
        <v>80</v>
      </c>
      <c r="E29" s="47">
        <f t="shared" si="6"/>
        <v>2640</v>
      </c>
      <c r="F29" s="47">
        <v>33</v>
      </c>
      <c r="G29" s="47">
        <v>80</v>
      </c>
      <c r="H29" s="47">
        <f t="shared" si="7"/>
        <v>2640</v>
      </c>
      <c r="I29" s="47">
        <v>33</v>
      </c>
      <c r="J29" s="47">
        <v>80</v>
      </c>
      <c r="K29" s="47">
        <f t="shared" si="8"/>
        <v>2640</v>
      </c>
      <c r="L29" s="47">
        <v>33</v>
      </c>
      <c r="M29" s="47">
        <v>80</v>
      </c>
      <c r="N29" s="47">
        <f t="shared" si="9"/>
        <v>2640</v>
      </c>
      <c r="O29" s="47">
        <v>33</v>
      </c>
      <c r="P29" s="47">
        <v>80</v>
      </c>
      <c r="Q29" s="47">
        <f t="shared" si="10"/>
        <v>2640</v>
      </c>
      <c r="R29" s="47">
        <v>33</v>
      </c>
      <c r="S29" s="47">
        <v>80</v>
      </c>
      <c r="T29" s="47">
        <f t="shared" si="11"/>
        <v>2640</v>
      </c>
    </row>
    <row r="30" spans="1:20">
      <c r="A30" s="117">
        <v>4</v>
      </c>
      <c r="B30" s="47" t="s">
        <v>179</v>
      </c>
      <c r="C30" s="47">
        <v>9</v>
      </c>
      <c r="D30" s="47">
        <v>80</v>
      </c>
      <c r="E30" s="47">
        <f t="shared" si="6"/>
        <v>720</v>
      </c>
      <c r="F30" s="47">
        <v>4</v>
      </c>
      <c r="G30" s="47">
        <v>80</v>
      </c>
      <c r="H30" s="47">
        <f t="shared" si="7"/>
        <v>320</v>
      </c>
      <c r="I30" s="47">
        <v>4</v>
      </c>
      <c r="J30" s="47">
        <v>80</v>
      </c>
      <c r="K30" s="47">
        <f t="shared" si="8"/>
        <v>320</v>
      </c>
      <c r="L30" s="47">
        <v>4</v>
      </c>
      <c r="M30" s="47">
        <v>80</v>
      </c>
      <c r="N30" s="47">
        <f t="shared" si="9"/>
        <v>320</v>
      </c>
      <c r="O30" s="47">
        <v>4</v>
      </c>
      <c r="P30" s="47">
        <v>80</v>
      </c>
      <c r="Q30" s="47">
        <f t="shared" si="10"/>
        <v>320</v>
      </c>
      <c r="R30" s="47">
        <v>4</v>
      </c>
      <c r="S30" s="47">
        <v>80</v>
      </c>
      <c r="T30" s="47">
        <f t="shared" si="11"/>
        <v>320</v>
      </c>
    </row>
    <row r="31" spans="1:20">
      <c r="A31" s="117">
        <v>5</v>
      </c>
      <c r="B31" s="47" t="s">
        <v>180</v>
      </c>
      <c r="C31" s="47">
        <v>17</v>
      </c>
      <c r="D31" s="47">
        <v>45</v>
      </c>
      <c r="E31" s="47">
        <f t="shared" si="6"/>
        <v>765</v>
      </c>
      <c r="F31" s="47">
        <v>9</v>
      </c>
      <c r="G31" s="47">
        <v>45</v>
      </c>
      <c r="H31" s="47">
        <f t="shared" si="7"/>
        <v>405</v>
      </c>
      <c r="I31" s="47">
        <v>9</v>
      </c>
      <c r="J31" s="47">
        <v>45</v>
      </c>
      <c r="K31" s="47">
        <f t="shared" si="8"/>
        <v>405</v>
      </c>
      <c r="L31" s="47">
        <v>9</v>
      </c>
      <c r="M31" s="47">
        <v>45</v>
      </c>
      <c r="N31" s="47">
        <f t="shared" si="9"/>
        <v>405</v>
      </c>
      <c r="O31" s="47">
        <v>9</v>
      </c>
      <c r="P31" s="47">
        <v>45</v>
      </c>
      <c r="Q31" s="47">
        <f t="shared" si="10"/>
        <v>405</v>
      </c>
      <c r="R31" s="47">
        <v>9</v>
      </c>
      <c r="S31" s="47">
        <v>45</v>
      </c>
      <c r="T31" s="47">
        <f t="shared" si="11"/>
        <v>405</v>
      </c>
    </row>
    <row r="32" spans="1:20">
      <c r="A32" s="117">
        <v>6</v>
      </c>
      <c r="B32" s="47" t="s">
        <v>181</v>
      </c>
      <c r="C32" s="47">
        <v>9</v>
      </c>
      <c r="D32" s="47">
        <v>90</v>
      </c>
      <c r="E32" s="47">
        <f t="shared" si="6"/>
        <v>810</v>
      </c>
      <c r="F32" s="47">
        <v>9</v>
      </c>
      <c r="G32" s="47">
        <v>90</v>
      </c>
      <c r="H32" s="47">
        <f t="shared" si="7"/>
        <v>810</v>
      </c>
      <c r="I32" s="47">
        <v>9</v>
      </c>
      <c r="J32" s="47">
        <v>90</v>
      </c>
      <c r="K32" s="47">
        <f t="shared" si="8"/>
        <v>810</v>
      </c>
      <c r="L32" s="47">
        <v>9</v>
      </c>
      <c r="M32" s="47">
        <v>90</v>
      </c>
      <c r="N32" s="47">
        <f t="shared" si="9"/>
        <v>810</v>
      </c>
      <c r="O32" s="47">
        <v>9</v>
      </c>
      <c r="P32" s="47">
        <v>90</v>
      </c>
      <c r="Q32" s="47">
        <f t="shared" si="10"/>
        <v>810</v>
      </c>
      <c r="R32" s="47">
        <v>9</v>
      </c>
      <c r="S32" s="47">
        <v>90</v>
      </c>
      <c r="T32" s="47">
        <f t="shared" si="11"/>
        <v>810</v>
      </c>
    </row>
    <row r="33" spans="1:20">
      <c r="A33" s="117">
        <v>7</v>
      </c>
      <c r="B33" s="47" t="s">
        <v>182</v>
      </c>
      <c r="C33" s="47">
        <v>9</v>
      </c>
      <c r="D33" s="47">
        <v>200</v>
      </c>
      <c r="E33" s="47">
        <f t="shared" si="6"/>
        <v>1800</v>
      </c>
      <c r="F33" s="47">
        <v>4</v>
      </c>
      <c r="G33" s="47">
        <v>200</v>
      </c>
      <c r="H33" s="47">
        <f t="shared" si="7"/>
        <v>800</v>
      </c>
      <c r="I33" s="47">
        <v>4</v>
      </c>
      <c r="J33" s="47">
        <v>200</v>
      </c>
      <c r="K33" s="47">
        <f t="shared" si="8"/>
        <v>800</v>
      </c>
      <c r="L33" s="47">
        <v>4</v>
      </c>
      <c r="M33" s="47">
        <v>200</v>
      </c>
      <c r="N33" s="47">
        <f t="shared" si="9"/>
        <v>800</v>
      </c>
      <c r="O33" s="47">
        <v>4</v>
      </c>
      <c r="P33" s="47">
        <v>200</v>
      </c>
      <c r="Q33" s="47">
        <f t="shared" si="10"/>
        <v>800</v>
      </c>
      <c r="R33" s="47">
        <v>4</v>
      </c>
      <c r="S33" s="47">
        <v>200</v>
      </c>
      <c r="T33" s="47">
        <f t="shared" si="11"/>
        <v>800</v>
      </c>
    </row>
    <row r="34" spans="1:20">
      <c r="A34" s="117">
        <v>8</v>
      </c>
      <c r="B34" s="47" t="s">
        <v>183</v>
      </c>
      <c r="C34" s="47">
        <v>9</v>
      </c>
      <c r="D34" s="47">
        <v>50</v>
      </c>
      <c r="E34" s="47">
        <f t="shared" si="6"/>
        <v>450</v>
      </c>
      <c r="F34" s="47">
        <v>17</v>
      </c>
      <c r="G34" s="47">
        <v>50</v>
      </c>
      <c r="H34" s="47">
        <f t="shared" si="7"/>
        <v>850</v>
      </c>
      <c r="I34" s="47">
        <v>17</v>
      </c>
      <c r="J34" s="47">
        <v>50</v>
      </c>
      <c r="K34" s="47">
        <f t="shared" si="8"/>
        <v>850</v>
      </c>
      <c r="L34" s="47">
        <v>17</v>
      </c>
      <c r="M34" s="47">
        <v>50</v>
      </c>
      <c r="N34" s="47">
        <f t="shared" si="9"/>
        <v>850</v>
      </c>
      <c r="O34" s="47">
        <v>17</v>
      </c>
      <c r="P34" s="47">
        <v>50</v>
      </c>
      <c r="Q34" s="47">
        <f t="shared" si="10"/>
        <v>850</v>
      </c>
      <c r="R34" s="47">
        <v>17</v>
      </c>
      <c r="S34" s="47">
        <v>50</v>
      </c>
      <c r="T34" s="47">
        <f t="shared" si="11"/>
        <v>850</v>
      </c>
    </row>
    <row r="35" spans="1:20">
      <c r="A35" s="117">
        <v>9</v>
      </c>
      <c r="B35" s="47" t="s">
        <v>184</v>
      </c>
      <c r="C35" s="47">
        <v>4</v>
      </c>
      <c r="D35" s="47">
        <v>100</v>
      </c>
      <c r="E35" s="47">
        <f t="shared" si="6"/>
        <v>400</v>
      </c>
      <c r="F35" s="47">
        <v>6</v>
      </c>
      <c r="G35" s="47">
        <v>100</v>
      </c>
      <c r="H35" s="47">
        <f t="shared" si="7"/>
        <v>600</v>
      </c>
      <c r="I35" s="47">
        <v>6</v>
      </c>
      <c r="J35" s="47">
        <v>100</v>
      </c>
      <c r="K35" s="47">
        <f t="shared" si="8"/>
        <v>600</v>
      </c>
      <c r="L35" s="47">
        <v>6</v>
      </c>
      <c r="M35" s="47">
        <v>100</v>
      </c>
      <c r="N35" s="47">
        <f t="shared" si="9"/>
        <v>600</v>
      </c>
      <c r="O35" s="47">
        <v>6</v>
      </c>
      <c r="P35" s="47">
        <v>100</v>
      </c>
      <c r="Q35" s="47">
        <f t="shared" si="10"/>
        <v>600</v>
      </c>
      <c r="R35" s="47">
        <v>6</v>
      </c>
      <c r="S35" s="47">
        <v>100</v>
      </c>
      <c r="T35" s="47">
        <f t="shared" si="11"/>
        <v>600</v>
      </c>
    </row>
    <row r="36" spans="1:20">
      <c r="A36" s="117">
        <v>10</v>
      </c>
      <c r="B36" s="47" t="s">
        <v>185</v>
      </c>
      <c r="C36" s="47">
        <v>11</v>
      </c>
      <c r="D36" s="47">
        <v>200</v>
      </c>
      <c r="E36" s="47">
        <f t="shared" si="6"/>
        <v>2200</v>
      </c>
      <c r="F36" s="47">
        <v>11</v>
      </c>
      <c r="G36" s="47">
        <v>200</v>
      </c>
      <c r="H36" s="47">
        <f t="shared" si="7"/>
        <v>2200</v>
      </c>
      <c r="I36" s="47">
        <v>11</v>
      </c>
      <c r="J36" s="47">
        <v>200</v>
      </c>
      <c r="K36" s="47">
        <f t="shared" si="8"/>
        <v>2200</v>
      </c>
      <c r="L36" s="47">
        <v>11</v>
      </c>
      <c r="M36" s="47">
        <v>200</v>
      </c>
      <c r="N36" s="47">
        <f t="shared" si="9"/>
        <v>2200</v>
      </c>
      <c r="O36" s="47">
        <v>11</v>
      </c>
      <c r="P36" s="47">
        <v>200</v>
      </c>
      <c r="Q36" s="47">
        <f t="shared" si="10"/>
        <v>2200</v>
      </c>
      <c r="R36" s="47">
        <v>11</v>
      </c>
      <c r="S36" s="47">
        <v>200</v>
      </c>
      <c r="T36" s="47">
        <f t="shared" si="11"/>
        <v>2200</v>
      </c>
    </row>
    <row r="37" spans="1:20">
      <c r="A37" s="117">
        <v>11</v>
      </c>
      <c r="B37" s="47" t="s">
        <v>160</v>
      </c>
      <c r="C37" s="47">
        <v>220</v>
      </c>
      <c r="D37" s="47">
        <v>250</v>
      </c>
      <c r="E37" s="47">
        <f t="shared" si="6"/>
        <v>55000</v>
      </c>
      <c r="F37" s="47">
        <v>220</v>
      </c>
      <c r="G37" s="47">
        <v>250</v>
      </c>
      <c r="H37" s="47">
        <f t="shared" si="7"/>
        <v>55000</v>
      </c>
      <c r="I37" s="47">
        <v>220</v>
      </c>
      <c r="J37" s="47">
        <v>250</v>
      </c>
      <c r="K37" s="47">
        <f t="shared" si="8"/>
        <v>55000</v>
      </c>
      <c r="L37" s="47">
        <v>220</v>
      </c>
      <c r="M37" s="47">
        <v>250</v>
      </c>
      <c r="N37" s="47">
        <f t="shared" si="9"/>
        <v>55000</v>
      </c>
      <c r="O37" s="47">
        <v>220</v>
      </c>
      <c r="P37" s="47">
        <v>250</v>
      </c>
      <c r="Q37" s="47">
        <f t="shared" si="10"/>
        <v>55000</v>
      </c>
      <c r="R37" s="47">
        <v>220</v>
      </c>
      <c r="S37" s="47">
        <v>250</v>
      </c>
      <c r="T37" s="47">
        <f t="shared" si="11"/>
        <v>55000</v>
      </c>
    </row>
    <row r="38" spans="1:20">
      <c r="A38" s="117">
        <v>12</v>
      </c>
      <c r="B38" s="47"/>
      <c r="C38" s="47"/>
      <c r="D38" s="47"/>
      <c r="E38" s="47">
        <f t="shared" si="6"/>
        <v>0</v>
      </c>
      <c r="F38" s="47"/>
      <c r="G38" s="47"/>
      <c r="H38" s="47">
        <f t="shared" si="7"/>
        <v>0</v>
      </c>
      <c r="I38" s="47"/>
      <c r="J38" s="47"/>
      <c r="K38" s="47">
        <f t="shared" si="8"/>
        <v>0</v>
      </c>
      <c r="L38" s="47"/>
      <c r="M38" s="47"/>
      <c r="N38" s="47">
        <f t="shared" si="9"/>
        <v>0</v>
      </c>
      <c r="O38" s="47"/>
      <c r="P38" s="47"/>
      <c r="Q38" s="47">
        <f t="shared" si="10"/>
        <v>0</v>
      </c>
      <c r="R38" s="47"/>
      <c r="S38" s="47"/>
      <c r="T38" s="47">
        <f t="shared" si="11"/>
        <v>0</v>
      </c>
    </row>
    <row r="39" spans="1:20">
      <c r="A39" s="117">
        <v>13</v>
      </c>
      <c r="B39" s="47"/>
      <c r="C39" s="47"/>
      <c r="D39" s="47"/>
      <c r="E39" s="47">
        <f t="shared" si="6"/>
        <v>0</v>
      </c>
      <c r="F39" s="47"/>
      <c r="G39" s="47"/>
      <c r="H39" s="47">
        <f t="shared" si="7"/>
        <v>0</v>
      </c>
      <c r="I39" s="47"/>
      <c r="J39" s="47"/>
      <c r="K39" s="47">
        <f t="shared" si="8"/>
        <v>0</v>
      </c>
      <c r="L39" s="47"/>
      <c r="M39" s="47"/>
      <c r="N39" s="47">
        <f t="shared" si="9"/>
        <v>0</v>
      </c>
      <c r="O39" s="47"/>
      <c r="P39" s="47"/>
      <c r="Q39" s="47">
        <f t="shared" si="10"/>
        <v>0</v>
      </c>
      <c r="R39" s="47"/>
      <c r="S39" s="47"/>
      <c r="T39" s="47">
        <f t="shared" si="11"/>
        <v>0</v>
      </c>
    </row>
    <row r="40" spans="1:20">
      <c r="A40" s="117">
        <v>14</v>
      </c>
      <c r="B40" s="47"/>
      <c r="C40" s="47"/>
      <c r="D40" s="47"/>
      <c r="E40" s="47">
        <f t="shared" si="6"/>
        <v>0</v>
      </c>
      <c r="F40" s="47"/>
      <c r="G40" s="47"/>
      <c r="H40" s="47">
        <f t="shared" si="7"/>
        <v>0</v>
      </c>
      <c r="I40" s="47"/>
      <c r="J40" s="47"/>
      <c r="K40" s="47">
        <f t="shared" si="8"/>
        <v>0</v>
      </c>
      <c r="L40" s="47"/>
      <c r="M40" s="47"/>
      <c r="N40" s="47">
        <f t="shared" si="9"/>
        <v>0</v>
      </c>
      <c r="O40" s="47"/>
      <c r="P40" s="47"/>
      <c r="Q40" s="47">
        <f t="shared" si="10"/>
        <v>0</v>
      </c>
      <c r="R40" s="47"/>
      <c r="S40" s="47"/>
      <c r="T40" s="47">
        <f t="shared" si="11"/>
        <v>0</v>
      </c>
    </row>
    <row r="41" spans="1:20">
      <c r="A41" s="117">
        <v>15</v>
      </c>
      <c r="B41" s="47"/>
      <c r="C41" s="47"/>
      <c r="D41" s="47"/>
      <c r="E41" s="47">
        <f t="shared" si="6"/>
        <v>0</v>
      </c>
      <c r="F41" s="47"/>
      <c r="G41" s="47"/>
      <c r="H41" s="47">
        <f t="shared" si="7"/>
        <v>0</v>
      </c>
      <c r="I41" s="47"/>
      <c r="J41" s="47"/>
      <c r="K41" s="47">
        <f t="shared" si="8"/>
        <v>0</v>
      </c>
      <c r="L41" s="47"/>
      <c r="M41" s="47"/>
      <c r="N41" s="47">
        <f t="shared" si="9"/>
        <v>0</v>
      </c>
      <c r="O41" s="47"/>
      <c r="P41" s="47"/>
      <c r="Q41" s="47">
        <f t="shared" si="10"/>
        <v>0</v>
      </c>
      <c r="R41" s="47"/>
      <c r="S41" s="47"/>
      <c r="T41" s="47">
        <f t="shared" si="11"/>
        <v>0</v>
      </c>
    </row>
    <row r="42" spans="1:20">
      <c r="A42" s="169" t="s">
        <v>6</v>
      </c>
      <c r="B42" s="169"/>
      <c r="C42" s="46"/>
      <c r="D42" s="46"/>
      <c r="E42" s="47">
        <f>SUM(E27:E41)</f>
        <v>73475</v>
      </c>
      <c r="F42" s="46"/>
      <c r="G42" s="46"/>
      <c r="H42" s="47">
        <f>SUM(H27:H41)</f>
        <v>71765</v>
      </c>
      <c r="I42" s="46"/>
      <c r="J42" s="46"/>
      <c r="K42" s="47">
        <f>SUM(K27:K41)</f>
        <v>71215</v>
      </c>
      <c r="L42" s="46"/>
      <c r="M42" s="46"/>
      <c r="N42" s="47">
        <f>SUM(N27:N41)</f>
        <v>70115</v>
      </c>
      <c r="O42" s="46"/>
      <c r="P42" s="46"/>
      <c r="Q42" s="47">
        <f>SUM(Q27:Q41)</f>
        <v>71215</v>
      </c>
      <c r="R42" s="46"/>
      <c r="S42" s="46"/>
      <c r="T42" s="47">
        <f>SUM(T27:T41)</f>
        <v>71765</v>
      </c>
    </row>
    <row r="43" spans="1:20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</row>
    <row r="44" spans="1:20">
      <c r="A44" s="167" t="s">
        <v>143</v>
      </c>
      <c r="B44" s="167"/>
      <c r="C44" s="168">
        <f>+E22+H22+K22+N22+Q22+T22+E42+H42+K42+N42+Q42+T42</f>
        <v>867205</v>
      </c>
      <c r="D44" s="168"/>
      <c r="E44" s="168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</row>
    <row r="45" spans="1:20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>
      <c r="A46" s="174" t="s">
        <v>87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6"/>
      <c r="N46" s="6"/>
      <c r="O46" s="6"/>
      <c r="P46" s="6"/>
      <c r="Q46" s="6"/>
      <c r="R46" s="6"/>
      <c r="S46" s="6"/>
      <c r="T46" s="6"/>
    </row>
  </sheetData>
  <mergeCells count="25">
    <mergeCell ref="A46:M46"/>
    <mergeCell ref="A24:A26"/>
    <mergeCell ref="A22:B22"/>
    <mergeCell ref="A42:B42"/>
    <mergeCell ref="A4:A6"/>
    <mergeCell ref="A44:B44"/>
    <mergeCell ref="C44:E44"/>
    <mergeCell ref="I25:K25"/>
    <mergeCell ref="C5:E5"/>
    <mergeCell ref="F5:H5"/>
    <mergeCell ref="A1:G1"/>
    <mergeCell ref="A2:G2"/>
    <mergeCell ref="R25:T25"/>
    <mergeCell ref="C4:T4"/>
    <mergeCell ref="B4:B6"/>
    <mergeCell ref="C24:T24"/>
    <mergeCell ref="B24:B26"/>
    <mergeCell ref="O5:Q5"/>
    <mergeCell ref="R5:T5"/>
    <mergeCell ref="C25:E25"/>
    <mergeCell ref="F25:H25"/>
    <mergeCell ref="L25:N25"/>
    <mergeCell ref="I5:K5"/>
    <mergeCell ref="L5:N5"/>
    <mergeCell ref="O25:Q25"/>
  </mergeCells>
  <pageMargins left="1.1023622047244095" right="0.70866141732283472" top="0.35433070866141736" bottom="0.35433070866141736" header="0.31496062992125984" footer="0.31496062992125984"/>
  <pageSetup scale="6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workbookViewId="0">
      <selection activeCell="A4" sqref="A4"/>
    </sheetView>
  </sheetViews>
  <sheetFormatPr baseColWidth="10" defaultRowHeight="15"/>
  <cols>
    <col min="1" max="1" width="14.5703125" customWidth="1"/>
    <col min="2" max="2" width="3.5703125" customWidth="1"/>
    <col min="3" max="3" width="13" bestFit="1" customWidth="1"/>
    <col min="5" max="5" width="13" bestFit="1" customWidth="1"/>
    <col min="7" max="7" width="13" bestFit="1" customWidth="1"/>
    <col min="9" max="9" width="13" bestFit="1" customWidth="1"/>
  </cols>
  <sheetData>
    <row r="3" spans="1:9">
      <c r="A3" s="178" t="s">
        <v>32</v>
      </c>
      <c r="B3" s="178"/>
      <c r="C3" s="178"/>
      <c r="D3" s="178"/>
      <c r="E3" s="178"/>
      <c r="F3" s="178"/>
      <c r="G3" s="178"/>
      <c r="H3" s="178"/>
      <c r="I3" s="178"/>
    </row>
    <row r="4" spans="1:9">
      <c r="A4" s="9">
        <v>7</v>
      </c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pans="1:9">
      <c r="A6" s="48"/>
      <c r="B6" s="6"/>
      <c r="C6" s="49" t="s">
        <v>10</v>
      </c>
      <c r="D6" s="49" t="s">
        <v>34</v>
      </c>
      <c r="E6" s="49" t="s">
        <v>10</v>
      </c>
      <c r="F6" s="49" t="s">
        <v>33</v>
      </c>
      <c r="G6" s="49" t="s">
        <v>36</v>
      </c>
      <c r="H6" s="49" t="s">
        <v>33</v>
      </c>
      <c r="I6" s="49" t="s">
        <v>36</v>
      </c>
    </row>
    <row r="7" spans="1:9">
      <c r="A7" s="59" t="s">
        <v>38</v>
      </c>
      <c r="B7" s="6"/>
      <c r="C7" s="50" t="s">
        <v>111</v>
      </c>
      <c r="D7" s="50" t="s">
        <v>35</v>
      </c>
      <c r="E7" s="50" t="s">
        <v>112</v>
      </c>
      <c r="F7" s="50" t="s">
        <v>35</v>
      </c>
      <c r="G7" s="50" t="s">
        <v>113</v>
      </c>
      <c r="H7" s="50" t="s">
        <v>35</v>
      </c>
      <c r="I7" s="50" t="s">
        <v>114</v>
      </c>
    </row>
    <row r="8" spans="1:9">
      <c r="A8" s="51"/>
      <c r="B8" s="6"/>
      <c r="C8" s="55">
        <f>+Ventas!C44</f>
        <v>867205</v>
      </c>
      <c r="D8" s="42">
        <v>1.02</v>
      </c>
      <c r="E8" s="56">
        <f>+C8*D8</f>
        <v>884549.1</v>
      </c>
      <c r="F8" s="42">
        <v>1.1100000000000001</v>
      </c>
      <c r="G8" s="56">
        <f>+E8*F8</f>
        <v>981849.50100000005</v>
      </c>
      <c r="H8" s="42">
        <v>1</v>
      </c>
      <c r="I8" s="56">
        <f>+G8*H8</f>
        <v>981849.50100000005</v>
      </c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48"/>
      <c r="B11" s="6"/>
      <c r="C11" s="49" t="s">
        <v>7</v>
      </c>
      <c r="D11" s="49" t="s">
        <v>33</v>
      </c>
      <c r="E11" s="49" t="s">
        <v>7</v>
      </c>
      <c r="F11" s="49" t="s">
        <v>33</v>
      </c>
      <c r="G11" s="49" t="s">
        <v>7</v>
      </c>
      <c r="H11" s="49" t="s">
        <v>33</v>
      </c>
      <c r="I11" s="49" t="s">
        <v>7</v>
      </c>
    </row>
    <row r="12" spans="1:9">
      <c r="A12" s="59" t="s">
        <v>38</v>
      </c>
      <c r="B12" s="6"/>
      <c r="C12" s="50" t="str">
        <f>+C7</f>
        <v>Año1</v>
      </c>
      <c r="D12" s="50" t="s">
        <v>35</v>
      </c>
      <c r="E12" s="50" t="str">
        <f>+E7</f>
        <v>Año2</v>
      </c>
      <c r="F12" s="50" t="s">
        <v>35</v>
      </c>
      <c r="G12" s="50" t="str">
        <f>+G7</f>
        <v>Año3</v>
      </c>
      <c r="H12" s="50" t="s">
        <v>35</v>
      </c>
      <c r="I12" s="50" t="str">
        <f>+I7</f>
        <v xml:space="preserve">Año4 </v>
      </c>
    </row>
    <row r="13" spans="1:9">
      <c r="A13" s="51"/>
      <c r="B13" s="6"/>
      <c r="C13" s="55">
        <f>+CostoVtas!C45</f>
        <v>469695</v>
      </c>
      <c r="D13" s="42">
        <v>1.03</v>
      </c>
      <c r="E13" s="56">
        <f>+C13*D13</f>
        <v>483785.85000000003</v>
      </c>
      <c r="F13" s="42">
        <v>1.1100000000000001</v>
      </c>
      <c r="G13" s="56">
        <f>+E13*F13</f>
        <v>537002.29350000003</v>
      </c>
      <c r="H13" s="42">
        <v>1.01</v>
      </c>
      <c r="I13" s="56">
        <f>+G13*H13</f>
        <v>542372.31643500004</v>
      </c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0" t="s">
        <v>37</v>
      </c>
      <c r="B15" s="6"/>
      <c r="C15" s="57">
        <f>+C8-C13</f>
        <v>397510</v>
      </c>
      <c r="D15" s="6"/>
      <c r="E15" s="58">
        <f>+E8-E13</f>
        <v>400763.24999999994</v>
      </c>
      <c r="F15" s="6"/>
      <c r="G15" s="58">
        <f>+G8-G13</f>
        <v>444847.20750000002</v>
      </c>
      <c r="H15" s="6"/>
      <c r="I15" s="58">
        <f>+I8-I13</f>
        <v>439477.184565</v>
      </c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179" t="s">
        <v>99</v>
      </c>
      <c r="B20" s="180"/>
      <c r="C20" s="180"/>
      <c r="D20" s="180"/>
      <c r="E20" s="180"/>
      <c r="F20" s="180"/>
      <c r="G20" s="180"/>
      <c r="H20" s="180"/>
      <c r="I20" s="181"/>
    </row>
    <row r="21" spans="1:9">
      <c r="A21" s="182" t="s">
        <v>137</v>
      </c>
      <c r="B21" s="183"/>
      <c r="C21" s="183"/>
      <c r="D21" s="183"/>
      <c r="E21" s="183"/>
      <c r="F21" s="183"/>
      <c r="G21" s="183"/>
      <c r="H21" s="183"/>
      <c r="I21" s="184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</sheetData>
  <mergeCells count="3">
    <mergeCell ref="A3:I3"/>
    <mergeCell ref="A20:I20"/>
    <mergeCell ref="A21:I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1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B6" sqref="B6"/>
    </sheetView>
  </sheetViews>
  <sheetFormatPr baseColWidth="10" defaultRowHeight="15"/>
  <cols>
    <col min="1" max="1" width="8" bestFit="1" customWidth="1"/>
    <col min="2" max="2" width="11.85546875" bestFit="1" customWidth="1"/>
    <col min="3" max="3" width="12.7109375" bestFit="1" customWidth="1"/>
    <col min="8" max="9" width="11.42578125" customWidth="1"/>
  </cols>
  <sheetData>
    <row r="1" spans="1:6">
      <c r="A1" s="159" t="s">
        <v>13</v>
      </c>
      <c r="B1" s="159"/>
      <c r="C1" s="159"/>
      <c r="D1" s="159"/>
      <c r="E1" s="159"/>
      <c r="F1" s="159"/>
    </row>
    <row r="2" spans="1:6">
      <c r="A2" s="9">
        <v>8</v>
      </c>
      <c r="B2" s="6"/>
      <c r="C2" s="6"/>
      <c r="D2" s="6"/>
      <c r="E2" s="6"/>
      <c r="F2" s="6"/>
    </row>
    <row r="3" spans="1:6">
      <c r="A3" s="68" t="s">
        <v>24</v>
      </c>
      <c r="B3" s="67" t="s">
        <v>16</v>
      </c>
      <c r="C3" s="67" t="s">
        <v>17</v>
      </c>
      <c r="D3" s="67" t="s">
        <v>19</v>
      </c>
      <c r="E3" s="67" t="s">
        <v>22</v>
      </c>
      <c r="F3" s="67" t="s">
        <v>21</v>
      </c>
    </row>
    <row r="4" spans="1:6">
      <c r="A4" s="68" t="s">
        <v>25</v>
      </c>
      <c r="B4" s="67" t="s">
        <v>14</v>
      </c>
      <c r="C4" s="67" t="s">
        <v>18</v>
      </c>
      <c r="D4" s="67" t="s">
        <v>20</v>
      </c>
      <c r="E4" s="67" t="s">
        <v>20</v>
      </c>
      <c r="F4" s="67" t="s">
        <v>23</v>
      </c>
    </row>
    <row r="5" spans="1:6">
      <c r="A5" s="69">
        <v>1</v>
      </c>
      <c r="B5" s="65">
        <v>90000</v>
      </c>
      <c r="C5" s="65">
        <v>0</v>
      </c>
      <c r="D5" s="66">
        <v>0.01</v>
      </c>
      <c r="E5" s="65">
        <f>+B5*D5</f>
        <v>900</v>
      </c>
      <c r="F5" s="65">
        <f>+C5+E5</f>
        <v>900</v>
      </c>
    </row>
    <row r="6" spans="1:6">
      <c r="A6" s="69">
        <v>2</v>
      </c>
      <c r="B6" s="65">
        <f t="shared" ref="B6:B11" si="0">+B5</f>
        <v>90000</v>
      </c>
      <c r="C6" s="65">
        <v>0</v>
      </c>
      <c r="D6" s="66">
        <v>0.01</v>
      </c>
      <c r="E6" s="65">
        <f t="shared" ref="E6:E28" si="1">+B6*D6</f>
        <v>900</v>
      </c>
      <c r="F6" s="65">
        <f t="shared" ref="F6:F28" si="2">+C6+E6</f>
        <v>900</v>
      </c>
    </row>
    <row r="7" spans="1:6">
      <c r="A7" s="69">
        <v>3</v>
      </c>
      <c r="B7" s="65">
        <f t="shared" si="0"/>
        <v>90000</v>
      </c>
      <c r="C7" s="65">
        <v>0</v>
      </c>
      <c r="D7" s="66">
        <v>0.01</v>
      </c>
      <c r="E7" s="65">
        <f t="shared" si="1"/>
        <v>900</v>
      </c>
      <c r="F7" s="65">
        <f t="shared" si="2"/>
        <v>900</v>
      </c>
    </row>
    <row r="8" spans="1:6">
      <c r="A8" s="69">
        <v>4</v>
      </c>
      <c r="B8" s="65">
        <f t="shared" si="0"/>
        <v>90000</v>
      </c>
      <c r="C8" s="65">
        <v>0</v>
      </c>
      <c r="D8" s="66">
        <v>0.01</v>
      </c>
      <c r="E8" s="65">
        <f t="shared" si="1"/>
        <v>900</v>
      </c>
      <c r="F8" s="65">
        <f t="shared" si="2"/>
        <v>900</v>
      </c>
    </row>
    <row r="9" spans="1:6">
      <c r="A9" s="69">
        <v>5</v>
      </c>
      <c r="B9" s="65">
        <f t="shared" si="0"/>
        <v>90000</v>
      </c>
      <c r="C9" s="65">
        <v>0</v>
      </c>
      <c r="D9" s="66">
        <v>0.01</v>
      </c>
      <c r="E9" s="65">
        <f t="shared" si="1"/>
        <v>900</v>
      </c>
      <c r="F9" s="65">
        <f t="shared" si="2"/>
        <v>900</v>
      </c>
    </row>
    <row r="10" spans="1:6">
      <c r="A10" s="69">
        <v>6</v>
      </c>
      <c r="B10" s="65">
        <f t="shared" si="0"/>
        <v>90000</v>
      </c>
      <c r="C10" s="65">
        <v>0</v>
      </c>
      <c r="D10" s="66">
        <v>0.01</v>
      </c>
      <c r="E10" s="65">
        <f t="shared" si="1"/>
        <v>900</v>
      </c>
      <c r="F10" s="65">
        <f t="shared" si="2"/>
        <v>900</v>
      </c>
    </row>
    <row r="11" spans="1:6">
      <c r="A11" s="69">
        <v>7</v>
      </c>
      <c r="B11" s="65">
        <f t="shared" si="0"/>
        <v>90000</v>
      </c>
      <c r="C11" s="65">
        <f>+B5/18</f>
        <v>5000</v>
      </c>
      <c r="D11" s="66">
        <v>0.01</v>
      </c>
      <c r="E11" s="65">
        <f t="shared" si="1"/>
        <v>900</v>
      </c>
      <c r="F11" s="65">
        <f t="shared" si="2"/>
        <v>5900</v>
      </c>
    </row>
    <row r="12" spans="1:6">
      <c r="A12" s="69">
        <v>8</v>
      </c>
      <c r="B12" s="65">
        <f>+B11-C11</f>
        <v>85000</v>
      </c>
      <c r="C12" s="65">
        <f>+C11</f>
        <v>5000</v>
      </c>
      <c r="D12" s="66">
        <v>0.01</v>
      </c>
      <c r="E12" s="65">
        <f t="shared" si="1"/>
        <v>850</v>
      </c>
      <c r="F12" s="65">
        <f t="shared" si="2"/>
        <v>5850</v>
      </c>
    </row>
    <row r="13" spans="1:6">
      <c r="A13" s="69">
        <v>9</v>
      </c>
      <c r="B13" s="65">
        <f>+B12-C12</f>
        <v>80000</v>
      </c>
      <c r="C13" s="65">
        <f t="shared" ref="C13:C28" si="3">+C12</f>
        <v>5000</v>
      </c>
      <c r="D13" s="66">
        <v>0.01</v>
      </c>
      <c r="E13" s="65">
        <f t="shared" si="1"/>
        <v>800</v>
      </c>
      <c r="F13" s="65">
        <f t="shared" si="2"/>
        <v>5800</v>
      </c>
    </row>
    <row r="14" spans="1:6">
      <c r="A14" s="69">
        <v>10</v>
      </c>
      <c r="B14" s="65">
        <f t="shared" ref="B14:B28" si="4">+B13-C13</f>
        <v>75000</v>
      </c>
      <c r="C14" s="65">
        <f t="shared" si="3"/>
        <v>5000</v>
      </c>
      <c r="D14" s="66">
        <v>0.01</v>
      </c>
      <c r="E14" s="65">
        <f t="shared" si="1"/>
        <v>750</v>
      </c>
      <c r="F14" s="65">
        <f t="shared" si="2"/>
        <v>5750</v>
      </c>
    </row>
    <row r="15" spans="1:6">
      <c r="A15" s="69">
        <v>11</v>
      </c>
      <c r="B15" s="65">
        <f t="shared" si="4"/>
        <v>70000</v>
      </c>
      <c r="C15" s="65">
        <f t="shared" si="3"/>
        <v>5000</v>
      </c>
      <c r="D15" s="66">
        <v>0.01</v>
      </c>
      <c r="E15" s="65">
        <f t="shared" si="1"/>
        <v>700</v>
      </c>
      <c r="F15" s="65">
        <f t="shared" si="2"/>
        <v>5700</v>
      </c>
    </row>
    <row r="16" spans="1:6">
      <c r="A16" s="69">
        <v>12</v>
      </c>
      <c r="B16" s="65">
        <f t="shared" si="4"/>
        <v>65000</v>
      </c>
      <c r="C16" s="65">
        <f t="shared" si="3"/>
        <v>5000</v>
      </c>
      <c r="D16" s="66">
        <v>0.01</v>
      </c>
      <c r="E16" s="65">
        <f t="shared" si="1"/>
        <v>650</v>
      </c>
      <c r="F16" s="65">
        <f t="shared" si="2"/>
        <v>5650</v>
      </c>
    </row>
    <row r="17" spans="1:6">
      <c r="A17" s="69">
        <v>13</v>
      </c>
      <c r="B17" s="65">
        <f t="shared" si="4"/>
        <v>60000</v>
      </c>
      <c r="C17" s="65">
        <f t="shared" si="3"/>
        <v>5000</v>
      </c>
      <c r="D17" s="66">
        <v>0.01</v>
      </c>
      <c r="E17" s="65">
        <f t="shared" si="1"/>
        <v>600</v>
      </c>
      <c r="F17" s="65">
        <f t="shared" si="2"/>
        <v>5600</v>
      </c>
    </row>
    <row r="18" spans="1:6">
      <c r="A18" s="69">
        <v>14</v>
      </c>
      <c r="B18" s="65">
        <f t="shared" si="4"/>
        <v>55000</v>
      </c>
      <c r="C18" s="65">
        <f t="shared" si="3"/>
        <v>5000</v>
      </c>
      <c r="D18" s="66">
        <v>0.01</v>
      </c>
      <c r="E18" s="65">
        <f t="shared" si="1"/>
        <v>550</v>
      </c>
      <c r="F18" s="65">
        <f t="shared" si="2"/>
        <v>5550</v>
      </c>
    </row>
    <row r="19" spans="1:6">
      <c r="A19" s="69">
        <v>15</v>
      </c>
      <c r="B19" s="65">
        <f t="shared" si="4"/>
        <v>50000</v>
      </c>
      <c r="C19" s="65">
        <f t="shared" si="3"/>
        <v>5000</v>
      </c>
      <c r="D19" s="66">
        <v>0.01</v>
      </c>
      <c r="E19" s="65">
        <f t="shared" si="1"/>
        <v>500</v>
      </c>
      <c r="F19" s="65">
        <f t="shared" si="2"/>
        <v>5500</v>
      </c>
    </row>
    <row r="20" spans="1:6">
      <c r="A20" s="69">
        <v>16</v>
      </c>
      <c r="B20" s="65">
        <f t="shared" si="4"/>
        <v>45000</v>
      </c>
      <c r="C20" s="65">
        <f t="shared" si="3"/>
        <v>5000</v>
      </c>
      <c r="D20" s="66">
        <v>0.01</v>
      </c>
      <c r="E20" s="65">
        <f t="shared" si="1"/>
        <v>450</v>
      </c>
      <c r="F20" s="65">
        <f t="shared" si="2"/>
        <v>5450</v>
      </c>
    </row>
    <row r="21" spans="1:6">
      <c r="A21" s="69">
        <v>17</v>
      </c>
      <c r="B21" s="65">
        <f t="shared" si="4"/>
        <v>40000</v>
      </c>
      <c r="C21" s="65">
        <f t="shared" si="3"/>
        <v>5000</v>
      </c>
      <c r="D21" s="66">
        <v>0.01</v>
      </c>
      <c r="E21" s="65">
        <f t="shared" si="1"/>
        <v>400</v>
      </c>
      <c r="F21" s="65">
        <f t="shared" si="2"/>
        <v>5400</v>
      </c>
    </row>
    <row r="22" spans="1:6">
      <c r="A22" s="69">
        <v>18</v>
      </c>
      <c r="B22" s="65">
        <f t="shared" si="4"/>
        <v>35000</v>
      </c>
      <c r="C22" s="65">
        <f t="shared" si="3"/>
        <v>5000</v>
      </c>
      <c r="D22" s="66">
        <v>0.01</v>
      </c>
      <c r="E22" s="65">
        <f t="shared" si="1"/>
        <v>350</v>
      </c>
      <c r="F22" s="65">
        <f t="shared" si="2"/>
        <v>5350</v>
      </c>
    </row>
    <row r="23" spans="1:6">
      <c r="A23" s="69">
        <v>19</v>
      </c>
      <c r="B23" s="65">
        <f t="shared" si="4"/>
        <v>30000</v>
      </c>
      <c r="C23" s="65">
        <f t="shared" si="3"/>
        <v>5000</v>
      </c>
      <c r="D23" s="66">
        <v>0.01</v>
      </c>
      <c r="E23" s="65">
        <f t="shared" si="1"/>
        <v>300</v>
      </c>
      <c r="F23" s="65">
        <f t="shared" si="2"/>
        <v>5300</v>
      </c>
    </row>
    <row r="24" spans="1:6">
      <c r="A24" s="69">
        <v>20</v>
      </c>
      <c r="B24" s="65">
        <f t="shared" si="4"/>
        <v>25000</v>
      </c>
      <c r="C24" s="65">
        <f t="shared" si="3"/>
        <v>5000</v>
      </c>
      <c r="D24" s="66">
        <v>0.01</v>
      </c>
      <c r="E24" s="65">
        <f t="shared" si="1"/>
        <v>250</v>
      </c>
      <c r="F24" s="65">
        <f t="shared" si="2"/>
        <v>5250</v>
      </c>
    </row>
    <row r="25" spans="1:6">
      <c r="A25" s="69">
        <v>21</v>
      </c>
      <c r="B25" s="65">
        <f t="shared" si="4"/>
        <v>20000</v>
      </c>
      <c r="C25" s="65">
        <f t="shared" si="3"/>
        <v>5000</v>
      </c>
      <c r="D25" s="66">
        <v>0.01</v>
      </c>
      <c r="E25" s="65">
        <f t="shared" si="1"/>
        <v>200</v>
      </c>
      <c r="F25" s="65">
        <f t="shared" si="2"/>
        <v>5200</v>
      </c>
    </row>
    <row r="26" spans="1:6">
      <c r="A26" s="69">
        <v>22</v>
      </c>
      <c r="B26" s="65">
        <f t="shared" si="4"/>
        <v>15000</v>
      </c>
      <c r="C26" s="65">
        <f t="shared" si="3"/>
        <v>5000</v>
      </c>
      <c r="D26" s="66">
        <v>0.01</v>
      </c>
      <c r="E26" s="65">
        <f t="shared" si="1"/>
        <v>150</v>
      </c>
      <c r="F26" s="65">
        <f t="shared" si="2"/>
        <v>5150</v>
      </c>
    </row>
    <row r="27" spans="1:6">
      <c r="A27" s="69">
        <v>23</v>
      </c>
      <c r="B27" s="65">
        <f t="shared" si="4"/>
        <v>10000</v>
      </c>
      <c r="C27" s="65">
        <f t="shared" si="3"/>
        <v>5000</v>
      </c>
      <c r="D27" s="66">
        <v>0.01</v>
      </c>
      <c r="E27" s="65">
        <f t="shared" si="1"/>
        <v>100</v>
      </c>
      <c r="F27" s="65">
        <f t="shared" si="2"/>
        <v>5100</v>
      </c>
    </row>
    <row r="28" spans="1:6">
      <c r="A28" s="70">
        <v>24</v>
      </c>
      <c r="B28" s="17">
        <f t="shared" si="4"/>
        <v>5000</v>
      </c>
      <c r="C28" s="17">
        <f t="shared" si="3"/>
        <v>5000</v>
      </c>
      <c r="D28" s="16">
        <v>0.01</v>
      </c>
      <c r="E28" s="17">
        <f t="shared" si="1"/>
        <v>50</v>
      </c>
      <c r="F28" s="17">
        <f t="shared" si="2"/>
        <v>5050</v>
      </c>
    </row>
    <row r="29" spans="1:6">
      <c r="A29" s="6"/>
      <c r="B29" s="6"/>
      <c r="C29" s="6"/>
      <c r="D29" s="6"/>
      <c r="E29" s="6"/>
      <c r="F29" s="6"/>
    </row>
    <row r="30" spans="1:6">
      <c r="A30" s="71" t="s">
        <v>141</v>
      </c>
      <c r="B30" s="72" t="s">
        <v>140</v>
      </c>
      <c r="C30" s="61">
        <f>+C5+C6+C7+C8+C9+C10+C11+C12+C13+C14+C15+C16</f>
        <v>30000</v>
      </c>
      <c r="D30" s="72" t="s">
        <v>138</v>
      </c>
      <c r="E30" s="61">
        <f>+E5+E6+E7+E8+E9+E10+E11+E12+E13+E14+E15+E16</f>
        <v>10050</v>
      </c>
      <c r="F30" s="62" t="s">
        <v>142</v>
      </c>
    </row>
    <row r="31" spans="1:6">
      <c r="A31" s="71" t="s">
        <v>139</v>
      </c>
      <c r="B31" s="72" t="s">
        <v>140</v>
      </c>
      <c r="C31" s="61">
        <f>+C17+C18+C19+C20+C21+C22+C23+C24+C25+C26+C27+C28</f>
        <v>60000</v>
      </c>
      <c r="D31" s="72" t="s">
        <v>138</v>
      </c>
      <c r="E31" s="61">
        <f>+E17+E18+E19+E20+E21+E22+E23+E24+E25+E26+E27+E28</f>
        <v>3900</v>
      </c>
      <c r="F31" s="63">
        <f>+(E30+E31)/24</f>
        <v>581.25</v>
      </c>
    </row>
    <row r="32" spans="1:6">
      <c r="A32" s="6"/>
      <c r="B32" s="6"/>
      <c r="C32" s="6"/>
      <c r="D32" s="6"/>
      <c r="E32" s="6"/>
      <c r="F32" s="6"/>
    </row>
    <row r="33" spans="1:6">
      <c r="A33" s="154" t="s">
        <v>106</v>
      </c>
      <c r="B33" s="154"/>
      <c r="C33" s="154"/>
      <c r="D33" s="154"/>
      <c r="E33" s="154"/>
      <c r="F33" s="154"/>
    </row>
    <row r="34" spans="1:6">
      <c r="A34" s="154" t="s">
        <v>107</v>
      </c>
      <c r="B34" s="154"/>
      <c r="C34" s="154"/>
      <c r="D34" s="154"/>
      <c r="E34" s="154"/>
      <c r="F34" s="154"/>
    </row>
  </sheetData>
  <mergeCells count="3">
    <mergeCell ref="A1:F1"/>
    <mergeCell ref="A33:F33"/>
    <mergeCell ref="A34:F34"/>
  </mergeCells>
  <printOptions horizontalCentered="1" verticalCentered="1"/>
  <pageMargins left="1.299212598425197" right="0.95" top="0.74803149606299213" bottom="0.74803149606299213" header="0.31496062992125984" footer="0.31496062992125984"/>
  <pageSetup scale="10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K7" sqref="K7"/>
    </sheetView>
  </sheetViews>
  <sheetFormatPr baseColWidth="10" defaultRowHeight="15"/>
  <cols>
    <col min="1" max="1" width="17.42578125" bestFit="1" customWidth="1"/>
    <col min="2" max="2" width="3.28515625" customWidth="1"/>
    <col min="3" max="3" width="14.7109375" bestFit="1" customWidth="1"/>
    <col min="4" max="4" width="11.85546875" bestFit="1" customWidth="1"/>
    <col min="6" max="6" width="11.85546875" bestFit="1" customWidth="1"/>
    <col min="7" max="7" width="8.85546875" bestFit="1" customWidth="1"/>
    <col min="8" max="8" width="13" bestFit="1" customWidth="1"/>
  </cols>
  <sheetData>
    <row r="1" spans="1:8">
      <c r="A1" s="159" t="s">
        <v>62</v>
      </c>
      <c r="B1" s="159"/>
      <c r="C1" s="159"/>
      <c r="D1" s="159"/>
      <c r="E1" s="159"/>
      <c r="F1" s="159"/>
      <c r="G1" s="159"/>
      <c r="H1" s="159"/>
    </row>
    <row r="2" spans="1:8" ht="12" customHeight="1">
      <c r="A2" s="14">
        <v>9</v>
      </c>
      <c r="B2" s="6"/>
      <c r="C2" s="6"/>
      <c r="D2" s="6"/>
      <c r="E2" s="6"/>
      <c r="F2" s="6"/>
      <c r="G2" s="6"/>
      <c r="H2" s="6"/>
    </row>
    <row r="3" spans="1:8">
      <c r="A3" s="116" t="s">
        <v>100</v>
      </c>
      <c r="B3" s="123"/>
      <c r="C3" s="116" t="s">
        <v>9</v>
      </c>
      <c r="D3" s="116" t="s">
        <v>10</v>
      </c>
      <c r="E3" s="116" t="s">
        <v>11</v>
      </c>
      <c r="F3" s="116" t="s">
        <v>59</v>
      </c>
      <c r="G3" s="116" t="s">
        <v>60</v>
      </c>
      <c r="H3" s="116" t="s">
        <v>61</v>
      </c>
    </row>
    <row r="4" spans="1:8">
      <c r="A4" s="26" t="s">
        <v>186</v>
      </c>
      <c r="B4" s="26"/>
      <c r="C4" s="26">
        <v>0</v>
      </c>
      <c r="D4" s="29">
        <v>1200</v>
      </c>
      <c r="E4" s="26">
        <v>0</v>
      </c>
      <c r="F4" s="31">
        <f>+C4+D4+E4</f>
        <v>1200</v>
      </c>
      <c r="G4" s="118">
        <v>12</v>
      </c>
      <c r="H4" s="29">
        <f>+F4*G4</f>
        <v>14400</v>
      </c>
    </row>
    <row r="5" spans="1:8">
      <c r="A5" s="26" t="s">
        <v>187</v>
      </c>
      <c r="B5" s="26"/>
      <c r="C5" s="26">
        <v>0</v>
      </c>
      <c r="D5" s="29">
        <v>300</v>
      </c>
      <c r="E5" s="26">
        <v>0</v>
      </c>
      <c r="F5" s="31">
        <f t="shared" ref="F5:F17" si="0">+C5+D5+E5</f>
        <v>300</v>
      </c>
      <c r="G5" s="118">
        <v>12</v>
      </c>
      <c r="H5" s="29">
        <f t="shared" ref="H5:H17" si="1">+F5*G5</f>
        <v>3600</v>
      </c>
    </row>
    <row r="6" spans="1:8">
      <c r="A6" s="26" t="s">
        <v>188</v>
      </c>
      <c r="B6" s="26"/>
      <c r="C6" s="29">
        <v>2500</v>
      </c>
      <c r="D6" s="26">
        <v>0</v>
      </c>
      <c r="E6" s="26">
        <v>0</v>
      </c>
      <c r="F6" s="31">
        <f t="shared" si="0"/>
        <v>2500</v>
      </c>
      <c r="G6" s="118">
        <v>12</v>
      </c>
      <c r="H6" s="29">
        <f t="shared" si="1"/>
        <v>30000</v>
      </c>
    </row>
    <row r="7" spans="1:8">
      <c r="A7" s="26" t="s">
        <v>189</v>
      </c>
      <c r="B7" s="26"/>
      <c r="C7" s="29">
        <v>17000</v>
      </c>
      <c r="D7" s="26">
        <v>0</v>
      </c>
      <c r="E7" s="26">
        <v>0</v>
      </c>
      <c r="F7" s="31">
        <f t="shared" si="0"/>
        <v>17000</v>
      </c>
      <c r="G7" s="118">
        <v>12</v>
      </c>
      <c r="H7" s="29">
        <f t="shared" si="1"/>
        <v>204000</v>
      </c>
    </row>
    <row r="8" spans="1:8">
      <c r="A8" s="26" t="s">
        <v>190</v>
      </c>
      <c r="B8" s="26"/>
      <c r="C8" s="29">
        <v>87</v>
      </c>
      <c r="D8" s="26">
        <v>0</v>
      </c>
      <c r="E8" s="26">
        <v>0</v>
      </c>
      <c r="F8" s="31">
        <f t="shared" si="0"/>
        <v>87</v>
      </c>
      <c r="G8" s="118">
        <v>12</v>
      </c>
      <c r="H8" s="29">
        <f t="shared" si="1"/>
        <v>1044</v>
      </c>
    </row>
    <row r="9" spans="1:8">
      <c r="A9" s="26" t="s">
        <v>134</v>
      </c>
      <c r="B9" s="26"/>
      <c r="C9" s="26">
        <v>0</v>
      </c>
      <c r="D9" s="26">
        <v>0</v>
      </c>
      <c r="E9" s="31">
        <f>+Crédito!F31</f>
        <v>581.25</v>
      </c>
      <c r="F9" s="31">
        <f t="shared" si="0"/>
        <v>581.25</v>
      </c>
      <c r="G9" s="118">
        <v>12</v>
      </c>
      <c r="H9" s="29">
        <f t="shared" si="1"/>
        <v>6975</v>
      </c>
    </row>
    <row r="10" spans="1:8">
      <c r="A10" s="26"/>
      <c r="B10" s="26"/>
      <c r="C10" s="26">
        <v>0</v>
      </c>
      <c r="D10" s="26">
        <v>0</v>
      </c>
      <c r="E10" s="26">
        <v>0</v>
      </c>
      <c r="F10" s="124">
        <v>0</v>
      </c>
      <c r="G10" s="118">
        <v>12</v>
      </c>
      <c r="H10" s="26">
        <f t="shared" si="1"/>
        <v>0</v>
      </c>
    </row>
    <row r="11" spans="1:8">
      <c r="A11" s="26"/>
      <c r="B11" s="26"/>
      <c r="C11" s="26">
        <v>0</v>
      </c>
      <c r="D11" s="26">
        <v>0</v>
      </c>
      <c r="E11" s="26">
        <v>0</v>
      </c>
      <c r="F11" s="124">
        <f t="shared" si="0"/>
        <v>0</v>
      </c>
      <c r="G11" s="118">
        <v>12</v>
      </c>
      <c r="H11" s="26">
        <f t="shared" si="1"/>
        <v>0</v>
      </c>
    </row>
    <row r="12" spans="1:8">
      <c r="A12" s="26"/>
      <c r="B12" s="26"/>
      <c r="C12" s="26">
        <v>0</v>
      </c>
      <c r="D12" s="26">
        <v>0</v>
      </c>
      <c r="E12" s="26">
        <v>0</v>
      </c>
      <c r="F12" s="124">
        <f t="shared" si="0"/>
        <v>0</v>
      </c>
      <c r="G12" s="118">
        <v>12</v>
      </c>
      <c r="H12" s="26">
        <f t="shared" si="1"/>
        <v>0</v>
      </c>
    </row>
    <row r="13" spans="1:8">
      <c r="A13" s="26" t="s">
        <v>8</v>
      </c>
      <c r="B13" s="26"/>
      <c r="C13" s="26">
        <v>0</v>
      </c>
      <c r="D13" s="26">
        <v>0</v>
      </c>
      <c r="E13" s="26">
        <v>0</v>
      </c>
      <c r="F13" s="124">
        <v>0</v>
      </c>
      <c r="G13" s="118">
        <v>12</v>
      </c>
      <c r="H13" s="26">
        <f t="shared" si="1"/>
        <v>0</v>
      </c>
    </row>
    <row r="14" spans="1:8">
      <c r="A14" s="26"/>
      <c r="B14" s="26"/>
      <c r="C14" s="26">
        <v>0</v>
      </c>
      <c r="D14" s="26">
        <v>0</v>
      </c>
      <c r="E14" s="26">
        <v>0</v>
      </c>
      <c r="F14" s="124">
        <f t="shared" si="0"/>
        <v>0</v>
      </c>
      <c r="G14" s="118">
        <v>12</v>
      </c>
      <c r="H14" s="26">
        <f t="shared" si="1"/>
        <v>0</v>
      </c>
    </row>
    <row r="15" spans="1:8">
      <c r="A15" s="26"/>
      <c r="B15" s="26"/>
      <c r="C15" s="26">
        <v>0</v>
      </c>
      <c r="D15" s="26">
        <v>0</v>
      </c>
      <c r="E15" s="26">
        <v>0</v>
      </c>
      <c r="F15" s="124">
        <v>0</v>
      </c>
      <c r="G15" s="118">
        <v>12</v>
      </c>
      <c r="H15" s="26">
        <f t="shared" si="1"/>
        <v>0</v>
      </c>
    </row>
    <row r="16" spans="1:8">
      <c r="A16" s="26"/>
      <c r="B16" s="26"/>
      <c r="C16" s="26">
        <v>0</v>
      </c>
      <c r="D16" s="26">
        <v>0</v>
      </c>
      <c r="E16" s="26">
        <v>0</v>
      </c>
      <c r="F16" s="124">
        <f t="shared" si="0"/>
        <v>0</v>
      </c>
      <c r="G16" s="118">
        <v>12</v>
      </c>
      <c r="H16" s="26">
        <f t="shared" si="1"/>
        <v>0</v>
      </c>
    </row>
    <row r="17" spans="1:8">
      <c r="A17" s="26"/>
      <c r="B17" s="26"/>
      <c r="C17" s="26">
        <v>0</v>
      </c>
      <c r="D17" s="26">
        <v>0</v>
      </c>
      <c r="E17" s="26">
        <v>0</v>
      </c>
      <c r="F17" s="124">
        <f t="shared" si="0"/>
        <v>0</v>
      </c>
      <c r="G17" s="118">
        <v>12</v>
      </c>
      <c r="H17" s="26">
        <f t="shared" si="1"/>
        <v>0</v>
      </c>
    </row>
    <row r="18" spans="1:8">
      <c r="A18" s="120" t="s">
        <v>12</v>
      </c>
      <c r="B18" s="26"/>
      <c r="C18" s="29">
        <f>SUM(C4:C17)</f>
        <v>19587</v>
      </c>
      <c r="D18" s="29">
        <f>SUM(D4:D17)</f>
        <v>1500</v>
      </c>
      <c r="E18" s="26">
        <f>SUM(E4:E17)</f>
        <v>581.25</v>
      </c>
      <c r="F18" s="29">
        <f>SUM(F4:F17)</f>
        <v>21668.25</v>
      </c>
      <c r="G18" s="26"/>
      <c r="H18" s="29">
        <f>SUM(H4:H17)</f>
        <v>260019</v>
      </c>
    </row>
    <row r="19" spans="1:8" ht="11.25" customHeight="1">
      <c r="A19" s="6"/>
      <c r="B19" s="6"/>
      <c r="C19" s="6"/>
      <c r="D19" s="6"/>
      <c r="E19" s="6"/>
      <c r="F19" s="6"/>
      <c r="G19" s="6"/>
      <c r="H19" s="6"/>
    </row>
    <row r="20" spans="1:8">
      <c r="A20" s="26" t="s">
        <v>191</v>
      </c>
      <c r="B20" s="26">
        <v>12</v>
      </c>
      <c r="C20" s="29">
        <f>+C18*B20</f>
        <v>235044</v>
      </c>
      <c r="D20" s="29">
        <f>+D18*B20</f>
        <v>18000</v>
      </c>
      <c r="E20" s="29">
        <f>+E18*B20</f>
        <v>6975</v>
      </c>
      <c r="F20" s="21"/>
      <c r="G20" s="37"/>
      <c r="H20" s="22"/>
    </row>
    <row r="21" spans="1:8" ht="9" customHeight="1">
      <c r="A21" s="6"/>
      <c r="B21" s="6"/>
      <c r="C21" s="6"/>
      <c r="D21" s="6"/>
      <c r="E21" s="6"/>
      <c r="F21" s="6"/>
      <c r="G21" s="6"/>
      <c r="H21" s="6"/>
    </row>
    <row r="22" spans="1:8">
      <c r="A22" s="154" t="s">
        <v>101</v>
      </c>
      <c r="B22" s="154"/>
      <c r="C22" s="154"/>
      <c r="D22" s="154"/>
      <c r="E22" s="154"/>
      <c r="F22" s="154"/>
      <c r="G22" s="154"/>
      <c r="H22" s="154"/>
    </row>
    <row r="23" spans="1:8">
      <c r="A23" s="154" t="s">
        <v>102</v>
      </c>
      <c r="B23" s="154"/>
      <c r="C23" s="154"/>
      <c r="D23" s="154"/>
      <c r="E23" s="154"/>
      <c r="F23" s="154"/>
      <c r="G23" s="154"/>
      <c r="H23" s="154"/>
    </row>
    <row r="24" spans="1:8">
      <c r="A24" s="154" t="s">
        <v>103</v>
      </c>
      <c r="B24" s="154"/>
      <c r="C24" s="154"/>
      <c r="D24" s="154"/>
      <c r="E24" s="154"/>
      <c r="F24" s="154"/>
      <c r="G24" s="154"/>
      <c r="H24" s="154"/>
    </row>
    <row r="25" spans="1:8" ht="7.5" customHeight="1">
      <c r="A25" s="46"/>
      <c r="B25" s="46"/>
      <c r="C25" s="46"/>
      <c r="D25" s="46"/>
      <c r="E25" s="46"/>
      <c r="F25" s="46"/>
      <c r="G25" s="46"/>
      <c r="H25" s="46"/>
    </row>
    <row r="26" spans="1:8">
      <c r="A26" s="154" t="s">
        <v>104</v>
      </c>
      <c r="B26" s="154"/>
      <c r="C26" s="154"/>
      <c r="D26" s="154"/>
      <c r="E26" s="154"/>
      <c r="F26" s="154"/>
      <c r="G26" s="154"/>
      <c r="H26" s="154"/>
    </row>
    <row r="27" spans="1:8">
      <c r="A27" s="154" t="s">
        <v>105</v>
      </c>
      <c r="B27" s="154"/>
      <c r="C27" s="154"/>
      <c r="D27" s="154"/>
      <c r="E27" s="154"/>
      <c r="F27" s="154"/>
      <c r="G27" s="154"/>
      <c r="H27" s="154"/>
    </row>
  </sheetData>
  <mergeCells count="6">
    <mergeCell ref="A27:H27"/>
    <mergeCell ref="A1:H1"/>
    <mergeCell ref="A22:H22"/>
    <mergeCell ref="A23:H23"/>
    <mergeCell ref="A24:H24"/>
    <mergeCell ref="A26:H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Inversión</vt:lpstr>
      <vt:lpstr>Origen y destino</vt:lpstr>
      <vt:lpstr>Depre</vt:lpstr>
      <vt:lpstr>Costo Unit.</vt:lpstr>
      <vt:lpstr>CostoVtas</vt:lpstr>
      <vt:lpstr>Ventas</vt:lpstr>
      <vt:lpstr>Proy.VtasCost</vt:lpstr>
      <vt:lpstr>Crédito</vt:lpstr>
      <vt:lpstr>Gastos Men</vt:lpstr>
      <vt:lpstr>EdoRes</vt:lpstr>
      <vt:lpstr>Balances</vt:lpstr>
      <vt:lpstr>Liquidez y P. del Ácido</vt:lpstr>
      <vt:lpstr>Rent y Rec</vt:lpstr>
      <vt:lpstr>Punto Eq.</vt:lpstr>
      <vt:lpstr>Flujo neto y VAN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</dc:creator>
  <cp:lastModifiedBy>DanyBear</cp:lastModifiedBy>
  <cp:lastPrinted>2009-04-15T18:29:03Z</cp:lastPrinted>
  <dcterms:created xsi:type="dcterms:W3CDTF">2008-11-26T18:49:19Z</dcterms:created>
  <dcterms:modified xsi:type="dcterms:W3CDTF">2017-09-02T12:13:18Z</dcterms:modified>
</cp:coreProperties>
</file>